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310" activeTab="0"/>
  </bookViews>
  <sheets>
    <sheet name="P_I" sheetId="1" r:id="rId1"/>
    <sheet name="KZU" sheetId="2" r:id="rId2"/>
    <sheet name="Ubase" sheetId="3" r:id="rId3"/>
  </sheets>
  <definedNames>
    <definedName name="_xlfn.BAHTTEXT" hidden="1">#NAME?</definedName>
    <definedName name="Cos">'P_I'!$G$2</definedName>
    <definedName name="Cu_O" localSheetId="1">'Ubase'!$F$3</definedName>
    <definedName name="Cu_O" localSheetId="2">'Ubase'!$F$3</definedName>
    <definedName name="U">'P_I'!$L$1</definedName>
    <definedName name="Ztr" localSheetId="1">'KZU'!$B$2</definedName>
    <definedName name="для_Al" localSheetId="1">'Ubase'!$F$10</definedName>
    <definedName name="для_Al" localSheetId="2">'Ubase'!$F$10</definedName>
    <definedName name="для_Al_o" localSheetId="1">'Ubase'!$F$4</definedName>
    <definedName name="для_Al_o" localSheetId="2">'Ubase'!$F$4</definedName>
    <definedName name="для_Cu" localSheetId="1">'Ubase'!$F$9</definedName>
    <definedName name="для_Cu" localSheetId="2">'Ubase'!$F$9</definedName>
    <definedName name="_xlnm.Print_Area" localSheetId="0">'P_I'!$A$1:$C$21</definedName>
    <definedName name="Переходные_контакты" localSheetId="1">'KZU'!$B$3</definedName>
  </definedNames>
  <calcPr fullCalcOnLoad="1"/>
</workbook>
</file>

<file path=xl/comments1.xml><?xml version="1.0" encoding="utf-8"?>
<comments xmlns="http://schemas.openxmlformats.org/spreadsheetml/2006/main">
  <authors>
    <author>ILYA</author>
  </authors>
  <commentList>
    <comment ref="G2" authorId="0">
      <text>
        <r>
          <rPr>
            <b/>
            <sz val="8"/>
            <rFont val="Tahoma"/>
            <family val="0"/>
          </rPr>
          <t>Вводить</t>
        </r>
      </text>
    </comment>
  </commentList>
</comments>
</file>

<file path=xl/sharedStrings.xml><?xml version="1.0" encoding="utf-8"?>
<sst xmlns="http://schemas.openxmlformats.org/spreadsheetml/2006/main" count="158" uniqueCount="126">
  <si>
    <t>kVA</t>
  </si>
  <si>
    <t>Iфазы 380</t>
  </si>
  <si>
    <t>Cos</t>
  </si>
  <si>
    <t>tg</t>
  </si>
  <si>
    <t>P, kW</t>
  </si>
  <si>
    <t>Iфазы380</t>
  </si>
  <si>
    <t>S, kVA</t>
  </si>
  <si>
    <t>А</t>
  </si>
  <si>
    <t>I, А</t>
  </si>
  <si>
    <t>недогруз</t>
  </si>
  <si>
    <t>Трансф</t>
  </si>
  <si>
    <t>Коэф</t>
  </si>
  <si>
    <t>Трансформатор, кВА</t>
  </si>
  <si>
    <t>400Д/У</t>
  </si>
  <si>
    <t>γ</t>
  </si>
  <si>
    <t>кВА</t>
  </si>
  <si>
    <t>ZТ/3</t>
  </si>
  <si>
    <t>Сопрот-ние трансф., Zt/3, Ом</t>
  </si>
  <si>
    <t>Cu</t>
  </si>
  <si>
    <t>Переходные контакты, Ом</t>
  </si>
  <si>
    <t>Расчетные точки</t>
  </si>
  <si>
    <t>AL</t>
  </si>
  <si>
    <t>Параметр</t>
  </si>
  <si>
    <t>Ед.изм</t>
  </si>
  <si>
    <t>ГРЩ</t>
  </si>
  <si>
    <t>1РЩ1</t>
  </si>
  <si>
    <t>1ЩС1</t>
  </si>
  <si>
    <t>КК</t>
  </si>
  <si>
    <t>Ohm/km</t>
  </si>
  <si>
    <t>Rлинии</t>
  </si>
  <si>
    <t>SummRлинии</t>
  </si>
  <si>
    <t>Длина кабеля</t>
  </si>
  <si>
    <t>м</t>
  </si>
  <si>
    <t>фаза+нуль</t>
  </si>
  <si>
    <t>Al</t>
  </si>
  <si>
    <t>ρ</t>
  </si>
  <si>
    <t>Материал жилы кабеля</t>
  </si>
  <si>
    <t>Cu/AL</t>
  </si>
  <si>
    <t>240+240</t>
  </si>
  <si>
    <t>160У/У</t>
  </si>
  <si>
    <t>Число питающих кабелей</t>
  </si>
  <si>
    <t>шт.</t>
  </si>
  <si>
    <t>240+120</t>
  </si>
  <si>
    <t>160Д/У</t>
  </si>
  <si>
    <t>Сечение жилы кабеля</t>
  </si>
  <si>
    <t>мм2</t>
  </si>
  <si>
    <t>50+50</t>
  </si>
  <si>
    <t>185+185</t>
  </si>
  <si>
    <t>10+10</t>
  </si>
  <si>
    <t>Фазность</t>
  </si>
  <si>
    <t>380/220</t>
  </si>
  <si>
    <t>185+150</t>
  </si>
  <si>
    <t>320У/У</t>
  </si>
  <si>
    <t>Присоединенная мощность</t>
  </si>
  <si>
    <t>150+150</t>
  </si>
  <si>
    <t>400У/У</t>
  </si>
  <si>
    <t>Потери напряжения в кабеле</t>
  </si>
  <si>
    <t>%</t>
  </si>
  <si>
    <t>150+70</t>
  </si>
  <si>
    <t>Общие потери напряжения</t>
  </si>
  <si>
    <t>150+50</t>
  </si>
  <si>
    <t>630У/У</t>
  </si>
  <si>
    <t>120+120</t>
  </si>
  <si>
    <t>630Д/У</t>
  </si>
  <si>
    <t>Ток 1-фазного к.з.</t>
  </si>
  <si>
    <t>120+70</t>
  </si>
  <si>
    <t>1000У/У</t>
  </si>
  <si>
    <t>120+50</t>
  </si>
  <si>
    <t>1000Д/У</t>
  </si>
  <si>
    <t>Мин. Допуст. Ток</t>
  </si>
  <si>
    <t>95+95</t>
  </si>
  <si>
    <t>Кратность АВ</t>
  </si>
  <si>
    <t>95+50</t>
  </si>
  <si>
    <t>Номинал АВ</t>
  </si>
  <si>
    <t>95+35</t>
  </si>
  <si>
    <t>Ток нагрузки</t>
  </si>
  <si>
    <t>70+70</t>
  </si>
  <si>
    <t>∆Р в линии участка</t>
  </si>
  <si>
    <t>кВт</t>
  </si>
  <si>
    <t>70+35</t>
  </si>
  <si>
    <t>70+25</t>
  </si>
  <si>
    <r>
      <t>∑</t>
    </r>
    <r>
      <rPr>
        <sz val="10"/>
        <rFont val="Arial Cyr"/>
        <family val="0"/>
      </rPr>
      <t>∆Р в линии участка</t>
    </r>
  </si>
  <si>
    <t>∑∆Р потери мощности</t>
  </si>
  <si>
    <t>-</t>
  </si>
  <si>
    <t>50+25</t>
  </si>
  <si>
    <t>50+16</t>
  </si>
  <si>
    <t>Крат</t>
  </si>
  <si>
    <t>35+35</t>
  </si>
  <si>
    <t>35+10</t>
  </si>
  <si>
    <t>25+25</t>
  </si>
  <si>
    <t>25+16</t>
  </si>
  <si>
    <t>25+10</t>
  </si>
  <si>
    <t>16+16</t>
  </si>
  <si>
    <t>16+10</t>
  </si>
  <si>
    <t>16+6</t>
  </si>
  <si>
    <t>10+6</t>
  </si>
  <si>
    <t>Значение коэффициента C</t>
  </si>
  <si>
    <t>10+4</t>
  </si>
  <si>
    <t>6+6</t>
  </si>
  <si>
    <t>6+4</t>
  </si>
  <si>
    <t>6+2,5</t>
  </si>
  <si>
    <t>4+4</t>
  </si>
  <si>
    <t>4+2,5</t>
  </si>
  <si>
    <t>4+1,5</t>
  </si>
  <si>
    <t>2,5+2,5</t>
  </si>
  <si>
    <t>2,5+1,5</t>
  </si>
  <si>
    <t>1,5+1,5</t>
  </si>
  <si>
    <t>1,5+1</t>
  </si>
  <si>
    <t>Однофазный переменный ~220В</t>
  </si>
  <si>
    <t>для Cu</t>
  </si>
  <si>
    <t>для Al</t>
  </si>
  <si>
    <t>Ma=P*l (кВт*м)</t>
  </si>
  <si>
    <t>Трехфазный переменный ток.</t>
  </si>
  <si>
    <t>для меди 53 м/Ом*мм2</t>
  </si>
  <si>
    <t>для алюминия 31,7 м/Ом*мм2</t>
  </si>
  <si>
    <t>du %</t>
  </si>
  <si>
    <t>L</t>
  </si>
  <si>
    <t>Р,кВт</t>
  </si>
  <si>
    <t>F,мм</t>
  </si>
  <si>
    <t>Падение от ТП до ВРУ</t>
  </si>
  <si>
    <t>Iфазы 0,22</t>
  </si>
  <si>
    <t>Iфазы 0,38</t>
  </si>
  <si>
    <t>kW</t>
  </si>
  <si>
    <t>U, В</t>
  </si>
  <si>
    <t>I, A</t>
  </si>
  <si>
    <t>Р, кВт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</si>
</sst>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\A"/>
    <numFmt numFmtId="168" formatCode="0&quot;кв.мм&quot;"/>
    <numFmt numFmtId="169" formatCode="0.0&quot;кв.мм&quot;"/>
    <numFmt numFmtId="170" formatCode="0&quot;=&quot;"/>
    <numFmt numFmtId="171" formatCode="_(&quot;=&quot;* #,#0#\A_);_(&quot;$&quot;* &quot;-&quot;??_);_(@_)"/>
    <numFmt numFmtId="172" formatCode="_(&quot;)=&quot;* #,#0#\A_);_(&quot;$&quot;* &quot;-&quot;??_);_(@_)"/>
    <numFmt numFmtId="173" formatCode="0.###\+"/>
    <numFmt numFmtId="174" formatCode="[$в точке К]#0_)"/>
    <numFmt numFmtId="175" formatCode="[$-F800]dddd\,\ mmmm\ dd\,\ yyyy"/>
    <numFmt numFmtId="176" formatCode="[$гр.]#0_)"/>
    <numFmt numFmtId="177" formatCode="[$гр.]#_)"/>
    <numFmt numFmtId="178" formatCode="[$1.]#0_)"/>
    <numFmt numFmtId="179" formatCode="0&quot; часов/мес&quot;"/>
    <numFmt numFmtId="180" formatCode="0.00000000000000"/>
    <numFmt numFmtId="181" formatCode="0.00000000"/>
    <numFmt numFmtId="182" formatCode="0.0000000"/>
    <numFmt numFmtId="183" formatCode="0.000000"/>
    <numFmt numFmtId="184" formatCode="0.00000"/>
    <numFmt numFmtId="185" formatCode="[$-FC19]d\ mmmm\ yyyy\ &quot;г.&quot;"/>
    <numFmt numFmtId="186" formatCode="0&quot;кВА&quot;"/>
    <numFmt numFmtId="187" formatCode="0&quot;+&quot;"/>
    <numFmt numFmtId="188" formatCode="0.0&quot;+&quot;"/>
    <numFmt numFmtId="189" formatCode="&quot;Ом&quot;"/>
    <numFmt numFmtId="190" formatCode="_(&quot;-&quot;* #,###\Н_);_(&quot;$&quot;* &quot;-&quot;??_);_(@_)"/>
    <numFmt numFmtId="191" formatCode="[$гр.].\1#_)"/>
    <numFmt numFmtId="192" formatCode="[$гр.с]#_)"/>
    <numFmt numFmtId="193" formatCode="[$гр.а]#0_)"/>
    <numFmt numFmtId="194" formatCode="[$гр.в]#_)"/>
    <numFmt numFmtId="195" formatCode="[$гр.т]#_)"/>
    <numFmt numFmtId="196" formatCode="[$ПХВ]#0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#,##0.00&quot;р.&quot;"/>
    <numFmt numFmtId="203" formatCode="0&quot;кВт*час/год&quot;"/>
    <numFmt numFmtId="204" formatCode="[$2.]#0_)"/>
    <numFmt numFmtId="205" formatCode="[$5.]#0_)"/>
    <numFmt numFmtId="206" formatCode="[$Iфазы]#0_)"/>
    <numFmt numFmtId="207" formatCode="[$Iфазы]#_)"/>
  </numFmts>
  <fonts count="1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  <font>
      <sz val="10"/>
      <name val="Arial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186" fontId="6" fillId="0" borderId="1" xfId="19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19" applyBorder="1" applyAlignment="1" applyProtection="1">
      <alignment wrapText="1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4" xfId="19" applyFont="1" applyBorder="1" applyAlignment="1" applyProtection="1">
      <alignment wrapText="1"/>
      <protection hidden="1"/>
    </xf>
    <xf numFmtId="0" fontId="6" fillId="0" borderId="4" xfId="19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19" applyAlignment="1" applyProtection="1">
      <alignment horizontal="center"/>
      <protection hidden="1"/>
    </xf>
    <xf numFmtId="0" fontId="0" fillId="0" borderId="0" xfId="19" applyProtection="1">
      <alignment/>
      <protection hidden="1"/>
    </xf>
    <xf numFmtId="0" fontId="0" fillId="0" borderId="0" xfId="19" applyFont="1" applyProtection="1">
      <alignment/>
      <protection hidden="1"/>
    </xf>
    <xf numFmtId="0" fontId="8" fillId="0" borderId="6" xfId="19" applyFont="1" applyBorder="1" applyAlignment="1" applyProtection="1">
      <alignment horizontal="center"/>
      <protection hidden="1"/>
    </xf>
    <xf numFmtId="0" fontId="0" fillId="0" borderId="6" xfId="19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0" fillId="0" borderId="6" xfId="19" applyNumberFormat="1" applyBorder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49" fontId="0" fillId="0" borderId="0" xfId="19" applyNumberFormat="1" applyFont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1" fillId="0" borderId="2" xfId="19" applyBorder="1" applyAlignment="1" applyProtection="1">
      <alignment vertical="center"/>
      <protection hidden="1"/>
    </xf>
    <xf numFmtId="165" fontId="1" fillId="0" borderId="2" xfId="19" applyNumberFormat="1" applyBorder="1" applyAlignment="1" applyProtection="1">
      <alignment vertical="center"/>
      <protection hidden="1"/>
    </xf>
    <xf numFmtId="1" fontId="0" fillId="0" borderId="6" xfId="19" applyNumberFormat="1" applyBorder="1" applyAlignment="1" applyProtection="1">
      <alignment horizontal="center"/>
      <protection hidden="1"/>
    </xf>
    <xf numFmtId="184" fontId="1" fillId="0" borderId="6" xfId="19" applyNumberForma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1" fillId="0" borderId="0" xfId="19" applyNumberFormat="1" applyFont="1" applyAlignment="1" applyProtection="1">
      <alignment horizontal="center"/>
      <protection hidden="1"/>
    </xf>
    <xf numFmtId="0" fontId="1" fillId="0" borderId="0" xfId="19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" fontId="0" fillId="0" borderId="0" xfId="19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2" fontId="0" fillId="0" borderId="0" xfId="19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1" fillId="0" borderId="6" xfId="19" applyFill="1" applyBorder="1" applyAlignment="1" applyProtection="1">
      <alignment horizontal="center"/>
      <protection hidden="1"/>
    </xf>
    <xf numFmtId="0" fontId="0" fillId="0" borderId="0" xfId="20" applyProtection="1">
      <alignment/>
      <protection hidden="1"/>
    </xf>
    <xf numFmtId="49" fontId="0" fillId="0" borderId="0" xfId="19" applyNumberFormat="1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6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2" fontId="0" fillId="0" borderId="6" xfId="0" applyNumberFormat="1" applyBorder="1" applyAlignment="1" applyProtection="1">
      <alignment/>
      <protection hidden="1"/>
    </xf>
    <xf numFmtId="207" fontId="0" fillId="0" borderId="6" xfId="0" applyNumberFormat="1" applyBorder="1" applyAlignment="1" applyProtection="1">
      <alignment/>
      <protection hidden="1"/>
    </xf>
    <xf numFmtId="166" fontId="0" fillId="0" borderId="6" xfId="0" applyNumberForma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hidden="1"/>
    </xf>
    <xf numFmtId="2" fontId="0" fillId="0" borderId="6" xfId="0" applyNumberFormat="1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166" fontId="4" fillId="0" borderId="6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 locked="0"/>
    </xf>
    <xf numFmtId="0" fontId="5" fillId="0" borderId="6" xfId="21" applyFont="1" applyBorder="1" applyAlignment="1" applyProtection="1">
      <alignment horizontal="center" vertical="center" wrapText="1"/>
      <protection hidden="1" locked="0"/>
    </xf>
    <xf numFmtId="166" fontId="5" fillId="0" borderId="6" xfId="0" applyNumberFormat="1" applyFont="1" applyBorder="1" applyAlignment="1" applyProtection="1">
      <alignment/>
      <protection hidden="1" locked="0"/>
    </xf>
  </cellXfs>
  <cellStyles count="11">
    <cellStyle name="Normal" xfId="0"/>
    <cellStyle name="Hyperlink" xfId="16"/>
    <cellStyle name="Currency" xfId="17"/>
    <cellStyle name="Currency [0]" xfId="18"/>
    <cellStyle name="Обычный_KZ" xfId="19"/>
    <cellStyle name="Обычный_Ucebn" xfId="20"/>
    <cellStyle name="Обычный_Электрика_8fl" xfId="21"/>
    <cellStyle name="Followed Hyperlink" xfId="22"/>
    <cellStyle name="Percent" xfId="23"/>
    <cellStyle name="Comma" xfId="24"/>
    <cellStyle name="Comma [0]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wmf" /><Relationship Id="rId6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4.625" style="11" bestFit="1" customWidth="1"/>
    <col min="2" max="3" width="6.75390625" style="11" customWidth="1"/>
    <col min="4" max="4" width="9.125" style="11" customWidth="1"/>
    <col min="5" max="5" width="7.625" style="11" bestFit="1" customWidth="1"/>
    <col min="6" max="6" width="9.625" style="11" bestFit="1" customWidth="1"/>
    <col min="7" max="7" width="9.75390625" style="11" customWidth="1"/>
    <col min="8" max="8" width="9.125" style="11" customWidth="1"/>
    <col min="9" max="9" width="7.375" style="11" customWidth="1"/>
    <col min="10" max="10" width="4.875" style="11" customWidth="1"/>
    <col min="11" max="12" width="6.75390625" style="11" customWidth="1"/>
    <col min="13" max="16384" width="9.125" style="11" customWidth="1"/>
  </cols>
  <sheetData>
    <row r="1" spans="1:12" s="55" customFormat="1" ht="34.5" customHeight="1">
      <c r="A1" s="54" t="s">
        <v>0</v>
      </c>
      <c r="B1" s="54" t="s">
        <v>121</v>
      </c>
      <c r="C1" s="54" t="s">
        <v>120</v>
      </c>
      <c r="E1" s="11"/>
      <c r="F1" s="11"/>
      <c r="G1" s="11" t="s">
        <v>2</v>
      </c>
      <c r="H1" s="13" t="s">
        <v>3</v>
      </c>
      <c r="I1" s="11"/>
      <c r="J1" s="55" t="s">
        <v>122</v>
      </c>
      <c r="K1" s="55" t="s">
        <v>1</v>
      </c>
      <c r="L1" s="55">
        <v>0.22</v>
      </c>
    </row>
    <row r="2" spans="1:12" ht="12.75">
      <c r="A2" s="49">
        <v>1</v>
      </c>
      <c r="B2" s="56">
        <f aca="true" t="shared" si="0" ref="B2:B33">A2/0.38/SQRT(3)</f>
        <v>1.51934281365691</v>
      </c>
      <c r="C2" s="56">
        <f aca="true" t="shared" si="1" ref="C2:C21">A2/U</f>
        <v>4.545454545454546</v>
      </c>
      <c r="G2" s="68">
        <v>0.85</v>
      </c>
      <c r="H2" s="47">
        <f>SQRT(1/(G2*G2)-1)</f>
        <v>0.6197443384031024</v>
      </c>
      <c r="J2" s="11">
        <v>1</v>
      </c>
      <c r="K2" s="37">
        <f aca="true" t="shared" si="2" ref="K2:K33">J2/0.38/SQRT(3)/Cos</f>
        <v>1.787462133714012</v>
      </c>
      <c r="L2" s="37">
        <f aca="true" t="shared" si="3" ref="L2:L21">J2/U/Cos</f>
        <v>5.3475935828877015</v>
      </c>
    </row>
    <row r="3" spans="1:12" ht="12.75">
      <c r="A3" s="49">
        <v>2</v>
      </c>
      <c r="B3" s="56">
        <f t="shared" si="0"/>
        <v>3.03868562731382</v>
      </c>
      <c r="C3" s="56">
        <f t="shared" si="1"/>
        <v>9.090909090909092</v>
      </c>
      <c r="E3" s="49" t="s">
        <v>6</v>
      </c>
      <c r="F3" s="49" t="s">
        <v>4</v>
      </c>
      <c r="G3" s="49" t="s">
        <v>5</v>
      </c>
      <c r="H3" s="57">
        <v>220</v>
      </c>
      <c r="J3" s="11">
        <v>2</v>
      </c>
      <c r="K3" s="37">
        <f t="shared" si="2"/>
        <v>3.574924267428024</v>
      </c>
      <c r="L3" s="37">
        <f t="shared" si="3"/>
        <v>10.695187165775403</v>
      </c>
    </row>
    <row r="4" spans="1:17" ht="12.75">
      <c r="A4" s="49">
        <v>3</v>
      </c>
      <c r="B4" s="56">
        <f t="shared" si="0"/>
        <v>4.5580284409707295</v>
      </c>
      <c r="C4" s="56">
        <f t="shared" si="1"/>
        <v>13.636363636363637</v>
      </c>
      <c r="E4" s="58">
        <f>SQRT(F4*F4+A36*A36)</f>
        <v>41.1764705882353</v>
      </c>
      <c r="F4" s="69">
        <v>35</v>
      </c>
      <c r="G4" s="56">
        <f>F4/0.38/SQRT(3)/Cos</f>
        <v>62.561174679990415</v>
      </c>
      <c r="H4" s="56">
        <f>F4/H3/Cos*1000</f>
        <v>187.1657754010695</v>
      </c>
      <c r="J4" s="11">
        <v>3</v>
      </c>
      <c r="K4" s="37">
        <f t="shared" si="2"/>
        <v>5.362386401142035</v>
      </c>
      <c r="L4" s="37">
        <f t="shared" si="3"/>
        <v>16.0427807486631</v>
      </c>
      <c r="P4" s="43"/>
      <c r="Q4" s="43"/>
    </row>
    <row r="5" spans="1:17" ht="12.75">
      <c r="A5" s="49">
        <v>4</v>
      </c>
      <c r="B5" s="56">
        <f t="shared" si="0"/>
        <v>6.07737125462764</v>
      </c>
      <c r="C5" s="56">
        <f t="shared" si="1"/>
        <v>18.181818181818183</v>
      </c>
      <c r="E5" s="59">
        <f>E4/0.38/SQRT(3)</f>
        <v>62.561174679990415</v>
      </c>
      <c r="H5" s="60"/>
      <c r="J5" s="11">
        <v>4</v>
      </c>
      <c r="K5" s="37">
        <f t="shared" si="2"/>
        <v>7.149848534856048</v>
      </c>
      <c r="L5" s="37">
        <f t="shared" si="3"/>
        <v>21.390374331550806</v>
      </c>
      <c r="P5" s="43"/>
      <c r="Q5" s="43"/>
    </row>
    <row r="6" spans="1:17" ht="12.75">
      <c r="A6" s="49">
        <v>5</v>
      </c>
      <c r="B6" s="56">
        <f t="shared" si="0"/>
        <v>7.596714068284549</v>
      </c>
      <c r="C6" s="56">
        <f t="shared" si="1"/>
        <v>22.727272727272727</v>
      </c>
      <c r="E6" s="61" t="s">
        <v>8</v>
      </c>
      <c r="F6" s="61" t="s">
        <v>125</v>
      </c>
      <c r="G6" s="61" t="s">
        <v>125</v>
      </c>
      <c r="J6" s="11">
        <v>5</v>
      </c>
      <c r="K6" s="37">
        <f t="shared" si="2"/>
        <v>8.937310668570058</v>
      </c>
      <c r="L6" s="37">
        <f t="shared" si="3"/>
        <v>26.737967914438503</v>
      </c>
      <c r="P6" s="43"/>
      <c r="Q6" s="43"/>
    </row>
    <row r="7" spans="1:17" ht="12.75">
      <c r="A7" s="49">
        <v>6</v>
      </c>
      <c r="B7" s="56">
        <f t="shared" si="0"/>
        <v>9.116056881941459</v>
      </c>
      <c r="C7" s="56">
        <f t="shared" si="1"/>
        <v>27.272727272727273</v>
      </c>
      <c r="E7" s="69">
        <v>40</v>
      </c>
      <c r="F7" s="56">
        <f>E7*0.38*SQRT(3)*Cos</f>
        <v>22.378096433789892</v>
      </c>
      <c r="G7" s="56">
        <f>E7*U*Cos</f>
        <v>7.48</v>
      </c>
      <c r="J7" s="11">
        <v>6</v>
      </c>
      <c r="K7" s="37">
        <f t="shared" si="2"/>
        <v>10.72477280228407</v>
      </c>
      <c r="L7" s="37">
        <f t="shared" si="3"/>
        <v>32.0855614973262</v>
      </c>
      <c r="P7" s="43"/>
      <c r="Q7" s="43"/>
    </row>
    <row r="8" spans="1:17" ht="12.75">
      <c r="A8" s="49">
        <v>7</v>
      </c>
      <c r="B8" s="56">
        <f t="shared" si="0"/>
        <v>10.635399695598371</v>
      </c>
      <c r="C8" s="56">
        <f t="shared" si="1"/>
        <v>31.818181818181817</v>
      </c>
      <c r="J8" s="11">
        <v>7</v>
      </c>
      <c r="K8" s="37">
        <f t="shared" si="2"/>
        <v>12.512234935998084</v>
      </c>
      <c r="L8" s="37">
        <f t="shared" si="3"/>
        <v>37.4331550802139</v>
      </c>
      <c r="P8" s="43"/>
      <c r="Q8" s="43"/>
    </row>
    <row r="9" spans="1:17" ht="12.75">
      <c r="A9" s="49">
        <v>8</v>
      </c>
      <c r="B9" s="56">
        <f t="shared" si="0"/>
        <v>12.15474250925528</v>
      </c>
      <c r="C9" s="56">
        <f t="shared" si="1"/>
        <v>36.36363636363637</v>
      </c>
      <c r="J9" s="11">
        <v>8</v>
      </c>
      <c r="K9" s="37">
        <f t="shared" si="2"/>
        <v>14.299697069712096</v>
      </c>
      <c r="L9" s="37">
        <f t="shared" si="3"/>
        <v>42.78074866310161</v>
      </c>
      <c r="P9" s="43"/>
      <c r="Q9" s="43"/>
    </row>
    <row r="10" spans="1:12" ht="12.75">
      <c r="A10" s="49">
        <v>9</v>
      </c>
      <c r="B10" s="56">
        <f t="shared" si="0"/>
        <v>13.67408532291219</v>
      </c>
      <c r="C10" s="56">
        <f t="shared" si="1"/>
        <v>40.90909090909091</v>
      </c>
      <c r="F10" s="49" t="s">
        <v>6</v>
      </c>
      <c r="G10" s="70">
        <v>350</v>
      </c>
      <c r="J10" s="11">
        <v>9</v>
      </c>
      <c r="K10" s="37">
        <f t="shared" si="2"/>
        <v>16.087159203426104</v>
      </c>
      <c r="L10" s="37">
        <f t="shared" si="3"/>
        <v>48.1283422459893</v>
      </c>
    </row>
    <row r="11" spans="1:12" ht="12.75">
      <c r="A11" s="49">
        <v>10</v>
      </c>
      <c r="B11" s="56">
        <f t="shared" si="0"/>
        <v>15.193428136569098</v>
      </c>
      <c r="C11" s="56">
        <f t="shared" si="1"/>
        <v>45.45454545454545</v>
      </c>
      <c r="F11" s="61" t="s">
        <v>123</v>
      </c>
      <c r="G11" s="61" t="s">
        <v>124</v>
      </c>
      <c r="J11" s="11">
        <v>10</v>
      </c>
      <c r="K11" s="37">
        <f t="shared" si="2"/>
        <v>17.874621337140116</v>
      </c>
      <c r="L11" s="37">
        <f t="shared" si="3"/>
        <v>53.475935828877006</v>
      </c>
    </row>
    <row r="12" spans="1:12" ht="12.75">
      <c r="A12" s="49">
        <v>11</v>
      </c>
      <c r="B12" s="56">
        <f t="shared" si="0"/>
        <v>16.71277095022601</v>
      </c>
      <c r="C12" s="56">
        <f t="shared" si="1"/>
        <v>50</v>
      </c>
      <c r="F12" s="49">
        <v>400</v>
      </c>
      <c r="G12" s="56">
        <f>G10/0.4/SQRT(3)</f>
        <v>505.18148554092255</v>
      </c>
      <c r="J12" s="11">
        <v>11</v>
      </c>
      <c r="K12" s="37">
        <f t="shared" si="2"/>
        <v>19.662083470854128</v>
      </c>
      <c r="L12" s="37">
        <f t="shared" si="3"/>
        <v>58.82352941176471</v>
      </c>
    </row>
    <row r="13" spans="1:12" ht="12.75">
      <c r="A13" s="49">
        <v>12</v>
      </c>
      <c r="B13" s="56">
        <f t="shared" si="0"/>
        <v>18.232113763882918</v>
      </c>
      <c r="C13" s="56">
        <f t="shared" si="1"/>
        <v>54.54545454545455</v>
      </c>
      <c r="F13" s="49">
        <v>380</v>
      </c>
      <c r="G13" s="56">
        <f>G10/0.38/SQRT(3)</f>
        <v>531.7699847799186</v>
      </c>
      <c r="J13" s="11">
        <v>12</v>
      </c>
      <c r="K13" s="37">
        <f t="shared" si="2"/>
        <v>21.44954560456814</v>
      </c>
      <c r="L13" s="37">
        <f t="shared" si="3"/>
        <v>64.1711229946524</v>
      </c>
    </row>
    <row r="14" spans="1:17" ht="12.75">
      <c r="A14" s="49">
        <v>13</v>
      </c>
      <c r="B14" s="56">
        <f t="shared" si="0"/>
        <v>19.75145657753983</v>
      </c>
      <c r="C14" s="56">
        <f t="shared" si="1"/>
        <v>59.09090909090909</v>
      </c>
      <c r="F14" s="49">
        <v>220</v>
      </c>
      <c r="G14" s="62">
        <f>G10/U</f>
        <v>1590.909090909091</v>
      </c>
      <c r="J14" s="11">
        <v>13</v>
      </c>
      <c r="K14" s="37">
        <f t="shared" si="2"/>
        <v>23.237007738282156</v>
      </c>
      <c r="L14" s="37">
        <f t="shared" si="3"/>
        <v>69.51871657754012</v>
      </c>
      <c r="O14" s="63"/>
      <c r="Q14" s="63"/>
    </row>
    <row r="15" spans="1:12" ht="12.75">
      <c r="A15" s="49">
        <v>14</v>
      </c>
      <c r="B15" s="56">
        <f t="shared" si="0"/>
        <v>21.270799391196743</v>
      </c>
      <c r="C15" s="56">
        <f t="shared" si="1"/>
        <v>63.63636363636363</v>
      </c>
      <c r="F15" s="49">
        <v>36</v>
      </c>
      <c r="G15" s="56">
        <f>G10/F15*1000</f>
        <v>9722.22222222222</v>
      </c>
      <c r="J15" s="11">
        <v>14</v>
      </c>
      <c r="K15" s="37">
        <f t="shared" si="2"/>
        <v>25.024469871996168</v>
      </c>
      <c r="L15" s="37">
        <f t="shared" si="3"/>
        <v>74.8663101604278</v>
      </c>
    </row>
    <row r="16" spans="1:12" ht="12.75">
      <c r="A16" s="49">
        <v>15</v>
      </c>
      <c r="B16" s="56">
        <f t="shared" si="0"/>
        <v>22.790142204853648</v>
      </c>
      <c r="C16" s="56">
        <f t="shared" si="1"/>
        <v>68.18181818181819</v>
      </c>
      <c r="F16" s="49">
        <v>6000</v>
      </c>
      <c r="G16" s="56">
        <f>G10/6/SQRT(3)</f>
        <v>33.67876570272817</v>
      </c>
      <c r="J16" s="11">
        <v>15</v>
      </c>
      <c r="K16" s="37">
        <f t="shared" si="2"/>
        <v>26.811932005710176</v>
      </c>
      <c r="L16" s="37">
        <f t="shared" si="3"/>
        <v>80.21390374331551</v>
      </c>
    </row>
    <row r="17" spans="1:12" ht="12.75">
      <c r="A17" s="49">
        <v>16</v>
      </c>
      <c r="B17" s="56">
        <f t="shared" si="0"/>
        <v>24.30948501851056</v>
      </c>
      <c r="C17" s="56">
        <f t="shared" si="1"/>
        <v>72.72727272727273</v>
      </c>
      <c r="F17" s="64">
        <v>10000</v>
      </c>
      <c r="G17" s="56">
        <f>G10/10/SQRT(3)</f>
        <v>20.207259421636902</v>
      </c>
      <c r="J17" s="11">
        <v>16</v>
      </c>
      <c r="K17" s="37">
        <f t="shared" si="2"/>
        <v>28.59939413942419</v>
      </c>
      <c r="L17" s="37">
        <f t="shared" si="3"/>
        <v>85.56149732620322</v>
      </c>
    </row>
    <row r="18" spans="1:12" ht="12.75">
      <c r="A18" s="49">
        <v>17</v>
      </c>
      <c r="B18" s="56">
        <f t="shared" si="0"/>
        <v>25.82882783216747</v>
      </c>
      <c r="C18" s="56">
        <f t="shared" si="1"/>
        <v>77.27272727272727</v>
      </c>
      <c r="J18" s="11">
        <v>17</v>
      </c>
      <c r="K18" s="37">
        <f t="shared" si="2"/>
        <v>30.3868562731382</v>
      </c>
      <c r="L18" s="37">
        <f t="shared" si="3"/>
        <v>90.9090909090909</v>
      </c>
    </row>
    <row r="19" spans="1:12" ht="12.75">
      <c r="A19" s="49">
        <v>18</v>
      </c>
      <c r="B19" s="56">
        <f t="shared" si="0"/>
        <v>27.34817064582438</v>
      </c>
      <c r="C19" s="56">
        <f t="shared" si="1"/>
        <v>81.81818181818181</v>
      </c>
      <c r="J19" s="11">
        <v>18</v>
      </c>
      <c r="K19" s="37">
        <f t="shared" si="2"/>
        <v>32.17431840685221</v>
      </c>
      <c r="L19" s="37">
        <f t="shared" si="3"/>
        <v>96.2566844919786</v>
      </c>
    </row>
    <row r="20" spans="1:12" ht="12.75">
      <c r="A20" s="49">
        <v>19</v>
      </c>
      <c r="B20" s="56">
        <f t="shared" si="0"/>
        <v>28.86751345948129</v>
      </c>
      <c r="C20" s="56">
        <f t="shared" si="1"/>
        <v>86.36363636363636</v>
      </c>
      <c r="J20" s="11">
        <v>19</v>
      </c>
      <c r="K20" s="37">
        <f t="shared" si="2"/>
        <v>33.961780540566224</v>
      </c>
      <c r="L20" s="37">
        <f t="shared" si="3"/>
        <v>101.60427807486631</v>
      </c>
    </row>
    <row r="21" spans="1:12" ht="12.75">
      <c r="A21" s="49">
        <v>20</v>
      </c>
      <c r="B21" s="56">
        <f t="shared" si="0"/>
        <v>30.386856273138196</v>
      </c>
      <c r="C21" s="56">
        <f t="shared" si="1"/>
        <v>90.9090909090909</v>
      </c>
      <c r="J21" s="11">
        <v>20</v>
      </c>
      <c r="K21" s="37">
        <f t="shared" si="2"/>
        <v>35.74924267428023</v>
      </c>
      <c r="L21" s="37">
        <f t="shared" si="3"/>
        <v>106.95187165775401</v>
      </c>
    </row>
    <row r="22" spans="1:12" ht="12.75">
      <c r="A22" s="49">
        <v>21</v>
      </c>
      <c r="B22" s="56">
        <f t="shared" si="0"/>
        <v>31.90619908679511</v>
      </c>
      <c r="C22" s="37"/>
      <c r="E22" s="49"/>
      <c r="F22" s="49">
        <f>F23*F24</f>
        <v>700</v>
      </c>
      <c r="G22" s="49">
        <f>G23*G24</f>
        <v>875</v>
      </c>
      <c r="H22" s="49">
        <f>H23*H24</f>
        <v>1120</v>
      </c>
      <c r="J22" s="11">
        <v>21</v>
      </c>
      <c r="K22" s="37">
        <f t="shared" si="2"/>
        <v>37.53670480799425</v>
      </c>
      <c r="L22" s="37"/>
    </row>
    <row r="23" spans="1:12" ht="12.75">
      <c r="A23" s="49">
        <v>22</v>
      </c>
      <c r="B23" s="56">
        <f t="shared" si="0"/>
        <v>33.42554190045202</v>
      </c>
      <c r="C23" s="37"/>
      <c r="E23" s="49" t="s">
        <v>9</v>
      </c>
      <c r="F23" s="67">
        <v>0.7</v>
      </c>
      <c r="G23" s="67">
        <v>0.7</v>
      </c>
      <c r="H23" s="67">
        <v>0.7</v>
      </c>
      <c r="J23" s="11">
        <v>22</v>
      </c>
      <c r="K23" s="37">
        <f t="shared" si="2"/>
        <v>39.324166941708256</v>
      </c>
      <c r="L23" s="37"/>
    </row>
    <row r="24" spans="1:12" ht="12.75">
      <c r="A24" s="49">
        <v>23</v>
      </c>
      <c r="B24" s="56">
        <f t="shared" si="0"/>
        <v>34.94488471410893</v>
      </c>
      <c r="C24" s="37"/>
      <c r="E24" s="49" t="s">
        <v>10</v>
      </c>
      <c r="F24" s="65">
        <v>1000</v>
      </c>
      <c r="G24" s="65">
        <v>1250</v>
      </c>
      <c r="H24" s="65">
        <v>1600</v>
      </c>
      <c r="J24" s="11">
        <v>23</v>
      </c>
      <c r="K24" s="37">
        <f t="shared" si="2"/>
        <v>41.11162907542227</v>
      </c>
      <c r="L24" s="37"/>
    </row>
    <row r="25" spans="1:12" ht="12.75">
      <c r="A25" s="49">
        <v>24</v>
      </c>
      <c r="B25" s="56">
        <f t="shared" si="0"/>
        <v>36.464227527765836</v>
      </c>
      <c r="C25" s="37"/>
      <c r="E25" s="49" t="s">
        <v>11</v>
      </c>
      <c r="F25" s="67">
        <v>1.3</v>
      </c>
      <c r="G25" s="67">
        <v>1.3</v>
      </c>
      <c r="H25" s="67">
        <v>1.3</v>
      </c>
      <c r="J25" s="11">
        <v>24</v>
      </c>
      <c r="K25" s="37">
        <f t="shared" si="2"/>
        <v>42.89909120913628</v>
      </c>
      <c r="L25" s="37"/>
    </row>
    <row r="26" spans="1:12" ht="12.75">
      <c r="A26" s="49">
        <v>25</v>
      </c>
      <c r="B26" s="56">
        <f t="shared" si="0"/>
        <v>37.98357034142275</v>
      </c>
      <c r="C26" s="37"/>
      <c r="E26" s="49"/>
      <c r="F26" s="49">
        <f>F25*F24</f>
        <v>1300</v>
      </c>
      <c r="G26" s="49">
        <f>G25*G24</f>
        <v>1625</v>
      </c>
      <c r="H26" s="49">
        <f>H25*H24</f>
        <v>2080</v>
      </c>
      <c r="J26" s="11">
        <v>25</v>
      </c>
      <c r="K26" s="37">
        <f t="shared" si="2"/>
        <v>44.686553342850296</v>
      </c>
      <c r="L26" s="37"/>
    </row>
    <row r="27" spans="1:12" ht="12.75">
      <c r="A27" s="11">
        <v>26</v>
      </c>
      <c r="B27" s="37">
        <f t="shared" si="0"/>
        <v>39.50291315507966</v>
      </c>
      <c r="C27" s="37"/>
      <c r="J27" s="11">
        <v>26</v>
      </c>
      <c r="K27" s="37">
        <f t="shared" si="2"/>
        <v>46.47401547656431</v>
      </c>
      <c r="L27" s="37"/>
    </row>
    <row r="28" spans="1:12" ht="12.75">
      <c r="A28" s="11">
        <v>27</v>
      </c>
      <c r="B28" s="37">
        <f t="shared" si="0"/>
        <v>41.02225596873657</v>
      </c>
      <c r="C28" s="37"/>
      <c r="J28" s="11">
        <v>27</v>
      </c>
      <c r="K28" s="37">
        <f t="shared" si="2"/>
        <v>48.26147761027832</v>
      </c>
      <c r="L28" s="37"/>
    </row>
    <row r="29" spans="1:12" ht="12.75">
      <c r="A29" s="11">
        <v>28</v>
      </c>
      <c r="B29" s="37">
        <f t="shared" si="0"/>
        <v>42.541598782393486</v>
      </c>
      <c r="C29" s="37"/>
      <c r="J29" s="11">
        <v>28</v>
      </c>
      <c r="K29" s="37">
        <f t="shared" si="2"/>
        <v>50.048939743992335</v>
      </c>
      <c r="L29" s="37"/>
    </row>
    <row r="30" spans="1:12" ht="12.75">
      <c r="A30" s="11">
        <v>29</v>
      </c>
      <c r="B30" s="37">
        <f t="shared" si="0"/>
        <v>44.060941596050384</v>
      </c>
      <c r="C30" s="37"/>
      <c r="J30" s="11">
        <v>29</v>
      </c>
      <c r="K30" s="37">
        <f t="shared" si="2"/>
        <v>51.83640187770634</v>
      </c>
      <c r="L30" s="37"/>
    </row>
    <row r="31" spans="1:12" ht="12.75">
      <c r="A31" s="11">
        <v>30</v>
      </c>
      <c r="B31" s="37">
        <f t="shared" si="0"/>
        <v>45.580284409707296</v>
      </c>
      <c r="C31" s="37"/>
      <c r="J31" s="11">
        <v>30</v>
      </c>
      <c r="K31" s="37">
        <f t="shared" si="2"/>
        <v>53.62386401142035</v>
      </c>
      <c r="L31" s="37"/>
    </row>
    <row r="32" spans="1:12" ht="12.75">
      <c r="A32" s="11">
        <v>31</v>
      </c>
      <c r="B32" s="37">
        <f t="shared" si="0"/>
        <v>47.09962722336421</v>
      </c>
      <c r="C32" s="37"/>
      <c r="J32" s="11">
        <v>31</v>
      </c>
      <c r="K32" s="37">
        <f t="shared" si="2"/>
        <v>55.41132614513437</v>
      </c>
      <c r="L32" s="37"/>
    </row>
    <row r="33" spans="1:12" ht="12.75">
      <c r="A33" s="11">
        <v>32</v>
      </c>
      <c r="B33" s="37">
        <f t="shared" si="0"/>
        <v>48.61897003702112</v>
      </c>
      <c r="C33" s="37"/>
      <c r="J33" s="11">
        <v>32</v>
      </c>
      <c r="K33" s="37">
        <f t="shared" si="2"/>
        <v>57.19878827884838</v>
      </c>
      <c r="L33" s="37"/>
    </row>
    <row r="34" spans="1:12" ht="12.75">
      <c r="A34" s="11">
        <v>33</v>
      </c>
      <c r="B34" s="37">
        <f>A34/0.38/SQRT(3)</f>
        <v>50.13831285067803</v>
      </c>
      <c r="C34" s="37"/>
      <c r="J34" s="11">
        <v>33</v>
      </c>
      <c r="K34" s="37">
        <f>J34/0.38/SQRT(3)/Cos</f>
        <v>58.986250412562384</v>
      </c>
      <c r="L34" s="37"/>
    </row>
    <row r="36" spans="1:2" ht="12.75">
      <c r="A36" s="66">
        <f>F4*B36</f>
        <v>21.691051844108582</v>
      </c>
      <c r="B36" s="66">
        <f>SQRT(1/(Cos*Cos)-1)</f>
        <v>0.6197443384031024</v>
      </c>
    </row>
  </sheetData>
  <sheetProtection password="CEE9" sheet="1" objects="1" scenarios="1"/>
  <printOptions gridLines="1"/>
  <pageMargins left="0.75" right="0.75" top="0.4" bottom="0.67" header="0.19" footer="0.31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2"/>
  <sheetViews>
    <sheetView workbookViewId="0" topLeftCell="A1">
      <selection activeCell="B44" sqref="B44"/>
    </sheetView>
  </sheetViews>
  <sheetFormatPr defaultColWidth="9.00390625" defaultRowHeight="12.75"/>
  <cols>
    <col min="1" max="1" width="26.375" style="11" bestFit="1" customWidth="1"/>
    <col min="2" max="2" width="11.00390625" style="11" customWidth="1"/>
    <col min="3" max="3" width="10.75390625" style="11" customWidth="1"/>
    <col min="4" max="8" width="8.125" style="11" bestFit="1" customWidth="1"/>
    <col min="9" max="9" width="0" style="11" hidden="1" customWidth="1"/>
    <col min="10" max="13" width="9.125" style="11" hidden="1" customWidth="1"/>
    <col min="14" max="14" width="10.25390625" style="11" hidden="1" customWidth="1"/>
    <col min="15" max="16" width="9.125" style="11" hidden="1" customWidth="1"/>
    <col min="17" max="17" width="4.00390625" style="11" hidden="1" customWidth="1"/>
    <col min="18" max="18" width="8.00390625" style="11" hidden="1" customWidth="1"/>
    <col min="19" max="19" width="5.375" style="11" hidden="1" customWidth="1"/>
    <col min="20" max="22" width="2.00390625" style="11" hidden="1" customWidth="1"/>
    <col min="23" max="26" width="7.625" style="11" hidden="1" customWidth="1"/>
    <col min="27" max="27" width="6.625" style="11" hidden="1" customWidth="1"/>
    <col min="28" max="29" width="4.625" style="11" hidden="1" customWidth="1"/>
    <col min="30" max="33" width="9.125" style="11" hidden="1" customWidth="1"/>
    <col min="34" max="16384" width="9.125" style="11" customWidth="1"/>
  </cols>
  <sheetData>
    <row r="1" spans="1:33" ht="12.75">
      <c r="A1" s="11" t="s">
        <v>12</v>
      </c>
      <c r="B1" s="12" t="s">
        <v>13</v>
      </c>
      <c r="L1" s="13" t="s">
        <v>14</v>
      </c>
      <c r="AF1" s="13" t="s">
        <v>15</v>
      </c>
      <c r="AG1" s="13" t="s">
        <v>16</v>
      </c>
    </row>
    <row r="2" spans="1:33" ht="12.75">
      <c r="A2" s="14" t="s">
        <v>17</v>
      </c>
      <c r="B2" s="15">
        <f>SUMIF(AF2:AF15,B1,AG2:AG15)</f>
        <v>0.022</v>
      </c>
      <c r="J2" s="16" t="s">
        <v>18</v>
      </c>
      <c r="K2" s="11">
        <v>380</v>
      </c>
      <c r="L2" s="11">
        <v>53</v>
      </c>
      <c r="AF2" s="13">
        <v>25</v>
      </c>
      <c r="AG2" s="13">
        <v>1.04</v>
      </c>
    </row>
    <row r="3" spans="1:33" ht="13.5" thickBot="1">
      <c r="A3" s="17" t="s">
        <v>19</v>
      </c>
      <c r="B3" s="18">
        <v>0.025</v>
      </c>
      <c r="C3" s="19" t="s">
        <v>20</v>
      </c>
      <c r="D3" s="19"/>
      <c r="E3" s="19"/>
      <c r="F3" s="19"/>
      <c r="G3" s="19"/>
      <c r="H3" s="19"/>
      <c r="J3" s="13" t="s">
        <v>21</v>
      </c>
      <c r="K3" s="11">
        <v>220</v>
      </c>
      <c r="L3" s="11">
        <v>31.7</v>
      </c>
      <c r="AF3" s="13">
        <v>40</v>
      </c>
      <c r="AG3" s="13">
        <v>0.65</v>
      </c>
    </row>
    <row r="4" spans="1:33" ht="12.75">
      <c r="A4" s="11" t="s">
        <v>22</v>
      </c>
      <c r="B4" s="11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27</v>
      </c>
      <c r="H4" s="3" t="s">
        <v>27</v>
      </c>
      <c r="L4" s="20"/>
      <c r="M4" s="21"/>
      <c r="N4" s="21"/>
      <c r="O4" s="21" t="s">
        <v>28</v>
      </c>
      <c r="P4" s="21"/>
      <c r="Q4" s="21"/>
      <c r="R4" s="22" t="s">
        <v>29</v>
      </c>
      <c r="S4" s="22" t="s">
        <v>30</v>
      </c>
      <c r="T4" s="20">
        <f>T3/3</f>
        <v>0</v>
      </c>
      <c r="AF4" s="13">
        <v>63</v>
      </c>
      <c r="AG4" s="13">
        <v>0.413</v>
      </c>
    </row>
    <row r="5" spans="1:33" ht="12.75">
      <c r="A5" s="11" t="s">
        <v>31</v>
      </c>
      <c r="B5" s="13" t="s">
        <v>32</v>
      </c>
      <c r="C5" s="4">
        <v>120</v>
      </c>
      <c r="D5" s="4">
        <v>25</v>
      </c>
      <c r="E5" s="4">
        <v>180</v>
      </c>
      <c r="F5" s="4">
        <v>80</v>
      </c>
      <c r="G5" s="4">
        <v>70</v>
      </c>
      <c r="H5" s="4">
        <v>25</v>
      </c>
      <c r="L5" s="20"/>
      <c r="M5" s="21"/>
      <c r="N5" s="22" t="s">
        <v>33</v>
      </c>
      <c r="O5" s="23" t="s">
        <v>18</v>
      </c>
      <c r="P5" s="24" t="s">
        <v>34</v>
      </c>
      <c r="Q5" s="21"/>
      <c r="R5" s="21">
        <f>Переходные_контакты</f>
        <v>0.025</v>
      </c>
      <c r="S5" s="21"/>
      <c r="T5" s="21"/>
      <c r="AC5" s="25" t="s">
        <v>35</v>
      </c>
      <c r="AF5" s="13">
        <v>100</v>
      </c>
      <c r="AG5" s="13">
        <v>0.26</v>
      </c>
    </row>
    <row r="6" spans="1:33" ht="12.75">
      <c r="A6" s="11" t="s">
        <v>36</v>
      </c>
      <c r="B6" s="13" t="s">
        <v>37</v>
      </c>
      <c r="C6" s="6" t="s">
        <v>21</v>
      </c>
      <c r="D6" s="6" t="s">
        <v>18</v>
      </c>
      <c r="E6" s="6" t="s">
        <v>18</v>
      </c>
      <c r="F6" s="6" t="s">
        <v>18</v>
      </c>
      <c r="G6" s="6" t="s">
        <v>21</v>
      </c>
      <c r="H6" s="6" t="s">
        <v>18</v>
      </c>
      <c r="J6" s="26">
        <f>IF($C$6="Cu",L6,M6)/C7</f>
        <v>0.24833333333333332</v>
      </c>
      <c r="K6" s="27">
        <f>SUMIF($N$6:$N$45,$C$8,$Q$6:$Q$45)</f>
        <v>120</v>
      </c>
      <c r="L6" s="28">
        <f>SUMIF($N$6:$N$45,$C$8,$O$6:$O$45)</f>
        <v>0.461</v>
      </c>
      <c r="M6" s="28">
        <f>SUMIF($N$6:$N$45,$C$8,P6:P45)</f>
        <v>0.745</v>
      </c>
      <c r="N6" s="29" t="s">
        <v>38</v>
      </c>
      <c r="O6" s="30">
        <v>0.175</v>
      </c>
      <c r="P6" s="30">
        <v>0.2805</v>
      </c>
      <c r="Q6" s="20">
        <v>240</v>
      </c>
      <c r="R6" s="31">
        <f>J6*C5/1000</f>
        <v>0.029799999999999997</v>
      </c>
      <c r="S6" s="32">
        <f>SUM(R5:R6)</f>
        <v>0.0548</v>
      </c>
      <c r="T6" s="33">
        <f>IF(C9=380,3,4)</f>
        <v>3</v>
      </c>
      <c r="U6" s="33">
        <f>IF($C$6="Cu",1,2)</f>
        <v>2</v>
      </c>
      <c r="V6" s="33">
        <f aca="true" t="shared" si="0" ref="V6:V11">T6*U6</f>
        <v>6</v>
      </c>
      <c r="W6" s="34">
        <f aca="true" t="shared" si="1" ref="W6:W11">IF(V6=3,для_Cu,0)</f>
        <v>0</v>
      </c>
      <c r="X6" s="34">
        <f aca="true" t="shared" si="2" ref="X6:X11">IF(V6=6,для_Al,0)</f>
        <v>0.021846081249945387</v>
      </c>
      <c r="Y6" s="34">
        <f>IF(V6=8,для_AL_о,0)</f>
        <v>0</v>
      </c>
      <c r="Z6" s="34">
        <f aca="true" t="shared" si="3" ref="Z6:Z11">IF(V6=4,Cu_O,0)</f>
        <v>0</v>
      </c>
      <c r="AA6" s="35">
        <f aca="true" t="shared" si="4" ref="AA6:AA11">SUM(W6:Z6)</f>
        <v>0.021846081249945387</v>
      </c>
      <c r="AB6" s="36">
        <f>IF($C$6="Cu",$L$2,$L$3)</f>
        <v>31.7</v>
      </c>
      <c r="AC6" s="37">
        <f>1000/AB6/K6/C7</f>
        <v>0.08762705923589204</v>
      </c>
      <c r="AF6" s="13" t="s">
        <v>39</v>
      </c>
      <c r="AG6" s="13">
        <v>0.162</v>
      </c>
    </row>
    <row r="7" spans="1:33" ht="12.75">
      <c r="A7" s="11" t="s">
        <v>40</v>
      </c>
      <c r="B7" s="13" t="s">
        <v>41</v>
      </c>
      <c r="C7" s="7">
        <v>3</v>
      </c>
      <c r="D7" s="7">
        <v>2</v>
      </c>
      <c r="E7" s="7">
        <v>2</v>
      </c>
      <c r="F7" s="7">
        <v>1</v>
      </c>
      <c r="G7" s="7">
        <v>1</v>
      </c>
      <c r="H7" s="7">
        <v>1</v>
      </c>
      <c r="J7" s="26">
        <f>IF($D$6="Cu",L7,M7)/D7</f>
        <v>0.11</v>
      </c>
      <c r="K7" s="27">
        <f>SUMIF($N$6:$N$45,$D$8,$Q$6:$Q$45)</f>
        <v>185</v>
      </c>
      <c r="L7" s="28">
        <f>SUMIF($N$6:$N$45,$D$8,$O$6:$O$45)</f>
        <v>0.22</v>
      </c>
      <c r="M7" s="28">
        <f>SUMIF($N$6:$N$45,$D$8,P6:P45)</f>
        <v>0.36</v>
      </c>
      <c r="N7" s="29" t="s">
        <v>42</v>
      </c>
      <c r="O7" s="30">
        <v>0.24</v>
      </c>
      <c r="P7" s="30">
        <v>0.38</v>
      </c>
      <c r="Q7" s="20">
        <v>240</v>
      </c>
      <c r="R7" s="31">
        <f>J7*D5/1000</f>
        <v>0.00275</v>
      </c>
      <c r="S7" s="32">
        <f>SUM(R5:R7)</f>
        <v>0.057550000000000004</v>
      </c>
      <c r="T7" s="33">
        <f>IF(D9=380,3,4)</f>
        <v>3</v>
      </c>
      <c r="U7" s="33">
        <f>IF($D$6="Cu",1,2)</f>
        <v>1</v>
      </c>
      <c r="V7" s="33">
        <f t="shared" si="0"/>
        <v>3</v>
      </c>
      <c r="W7" s="34">
        <f t="shared" si="1"/>
        <v>0.01306642972874092</v>
      </c>
      <c r="X7" s="34">
        <f t="shared" si="2"/>
        <v>0</v>
      </c>
      <c r="Y7" s="34">
        <f>IF(V7=8,для_AL_о,0)</f>
        <v>0</v>
      </c>
      <c r="Z7" s="34">
        <f t="shared" si="3"/>
        <v>0</v>
      </c>
      <c r="AA7" s="35">
        <f t="shared" si="4"/>
        <v>0.01306642972874092</v>
      </c>
      <c r="AB7" s="36">
        <f>IF($D$6="Cu",$L$2,$L$3)</f>
        <v>53</v>
      </c>
      <c r="AC7" s="37">
        <f>1000/AB7/K7/D7</f>
        <v>0.05099439061703213</v>
      </c>
      <c r="AF7" s="13" t="s">
        <v>43</v>
      </c>
      <c r="AG7" s="13">
        <v>0.055</v>
      </c>
    </row>
    <row r="8" spans="1:33" ht="12.75">
      <c r="A8" s="11" t="s">
        <v>44</v>
      </c>
      <c r="B8" s="13" t="s">
        <v>45</v>
      </c>
      <c r="C8" s="52" t="s">
        <v>65</v>
      </c>
      <c r="D8" s="52" t="s">
        <v>47</v>
      </c>
      <c r="E8" s="52" t="s">
        <v>47</v>
      </c>
      <c r="F8" s="52" t="s">
        <v>47</v>
      </c>
      <c r="G8" s="52" t="s">
        <v>47</v>
      </c>
      <c r="H8" s="52" t="s">
        <v>48</v>
      </c>
      <c r="J8" s="26">
        <f>IF($E$6="Cu",L8,M8)/E7</f>
        <v>0.11</v>
      </c>
      <c r="K8" s="27">
        <f>SUMIF($N$6:$N$45,$E$8,$Q$6:$Q$45)</f>
        <v>185</v>
      </c>
      <c r="L8" s="28">
        <f>SUMIF($N$6:$N$45,$E$8,$O$6:$O$45)</f>
        <v>0.22</v>
      </c>
      <c r="M8" s="28">
        <f>SUMIF($N$6:$N$45,$E$8,P6:P45)</f>
        <v>0.36</v>
      </c>
      <c r="N8" s="39" t="s">
        <v>47</v>
      </c>
      <c r="O8" s="30">
        <v>0.22</v>
      </c>
      <c r="P8" s="30">
        <v>0.36</v>
      </c>
      <c r="Q8" s="40">
        <v>185</v>
      </c>
      <c r="R8" s="31">
        <f>J8*E5/1000</f>
        <v>0.0198</v>
      </c>
      <c r="S8" s="32">
        <f>SUM(R5:R8)</f>
        <v>0.07735</v>
      </c>
      <c r="T8" s="33">
        <f>IF(E9=380,3,4)</f>
        <v>3</v>
      </c>
      <c r="U8" s="33">
        <f>IF($E$6="Cu",1,2)</f>
        <v>1</v>
      </c>
      <c r="V8" s="33">
        <f t="shared" si="0"/>
        <v>3</v>
      </c>
      <c r="W8" s="34">
        <f t="shared" si="1"/>
        <v>0.01306642972874092</v>
      </c>
      <c r="X8" s="34">
        <f t="shared" si="2"/>
        <v>0</v>
      </c>
      <c r="Y8" s="34">
        <f>IF(V8=8,для_Al_o,0)</f>
        <v>0</v>
      </c>
      <c r="Z8" s="34">
        <f t="shared" si="3"/>
        <v>0</v>
      </c>
      <c r="AA8" s="35">
        <f t="shared" si="4"/>
        <v>0.01306642972874092</v>
      </c>
      <c r="AB8" s="36">
        <f>IF($E$6="Cu",$L$2,$L$3)</f>
        <v>53</v>
      </c>
      <c r="AC8" s="37">
        <f>1000/AB8/K8/E7</f>
        <v>0.05099439061703213</v>
      </c>
      <c r="AF8" s="13">
        <v>250</v>
      </c>
      <c r="AG8" s="13">
        <v>0.104</v>
      </c>
    </row>
    <row r="9" spans="1:33" ht="12.75">
      <c r="A9" s="11" t="s">
        <v>49</v>
      </c>
      <c r="B9" s="13" t="s">
        <v>50</v>
      </c>
      <c r="C9" s="53">
        <v>380</v>
      </c>
      <c r="D9" s="53">
        <v>380</v>
      </c>
      <c r="E9" s="53">
        <v>380</v>
      </c>
      <c r="F9" s="53">
        <v>380</v>
      </c>
      <c r="G9" s="53">
        <v>220</v>
      </c>
      <c r="H9" s="53">
        <v>220</v>
      </c>
      <c r="J9" s="26">
        <f>IF($F$6="Cu",L9,M9)/F7</f>
        <v>0.22</v>
      </c>
      <c r="K9" s="27">
        <f>SUMIF($N$6:$N$45,$F$8,$Q$6:$Q$45)</f>
        <v>185</v>
      </c>
      <c r="L9" s="28">
        <f>SUMIF($N$6:$N$45,$F$8,$O$6:$O$45)</f>
        <v>0.22</v>
      </c>
      <c r="M9" s="28">
        <f>SUMIF($N$6:$N$45,$F$8,P6:P45)</f>
        <v>0.36</v>
      </c>
      <c r="N9" s="39" t="s">
        <v>51</v>
      </c>
      <c r="O9" s="30"/>
      <c r="P9" s="30"/>
      <c r="Q9" s="40">
        <v>185</v>
      </c>
      <c r="R9" s="31">
        <f>J9*F5/1000</f>
        <v>0.0176</v>
      </c>
      <c r="S9" s="32">
        <f>SUM(R5:R9)</f>
        <v>0.09495</v>
      </c>
      <c r="T9" s="33">
        <f>IF(F9=380,3,4)</f>
        <v>3</v>
      </c>
      <c r="U9" s="33">
        <f>IF($F$6="Cu",1,2)</f>
        <v>1</v>
      </c>
      <c r="V9" s="33">
        <f t="shared" si="0"/>
        <v>3</v>
      </c>
      <c r="W9" s="34">
        <f t="shared" si="1"/>
        <v>0.01306642972874092</v>
      </c>
      <c r="X9" s="34">
        <f t="shared" si="2"/>
        <v>0</v>
      </c>
      <c r="Y9" s="34">
        <f>IF(V9=8,для_Al_o,0)</f>
        <v>0</v>
      </c>
      <c r="Z9" s="34">
        <f t="shared" si="3"/>
        <v>0</v>
      </c>
      <c r="AA9" s="35">
        <f t="shared" si="4"/>
        <v>0.01306642972874092</v>
      </c>
      <c r="AB9" s="36">
        <f>IF($F$6="Cu",$L$2,$L$3)</f>
        <v>53</v>
      </c>
      <c r="AC9" s="37">
        <f>1000/AB9/K9/F7</f>
        <v>0.10198878123406425</v>
      </c>
      <c r="AF9" s="13" t="s">
        <v>52</v>
      </c>
      <c r="AG9" s="13">
        <v>0.085</v>
      </c>
    </row>
    <row r="10" spans="1:33" ht="12.75">
      <c r="A10" s="11" t="s">
        <v>53</v>
      </c>
      <c r="B10" s="13" t="s">
        <v>15</v>
      </c>
      <c r="C10" s="4">
        <v>122</v>
      </c>
      <c r="D10" s="4">
        <v>234.9</v>
      </c>
      <c r="E10" s="4">
        <v>200.9</v>
      </c>
      <c r="F10" s="4">
        <v>92.96</v>
      </c>
      <c r="G10" s="4">
        <v>47.88</v>
      </c>
      <c r="H10" s="4">
        <v>10</v>
      </c>
      <c r="J10" s="26">
        <f>IF($G$6="Cu",L10,M10)/G7</f>
        <v>0.36</v>
      </c>
      <c r="K10" s="27">
        <f>SUMIF($N$6:$N$45,$G$8,$Q$6:$Q$45)</f>
        <v>185</v>
      </c>
      <c r="L10" s="28">
        <f>SUMIF($N$6:$N$45,$G$8,$O$6:$O$45)</f>
        <v>0.22</v>
      </c>
      <c r="M10" s="28">
        <f>SUMIF($N$6:$N$45,$G$8,P6:P45)</f>
        <v>0.36</v>
      </c>
      <c r="N10" s="29" t="s">
        <v>54</v>
      </c>
      <c r="O10" s="30">
        <v>0.285</v>
      </c>
      <c r="P10" s="30">
        <v>0.446</v>
      </c>
      <c r="Q10" s="20">
        <v>150</v>
      </c>
      <c r="R10" s="31">
        <f>J10*G5/1000</f>
        <v>0.0252</v>
      </c>
      <c r="S10" s="32">
        <f>SUM(R5:R10)</f>
        <v>0.12015</v>
      </c>
      <c r="T10" s="33">
        <f>IF(G9=380,3,4)</f>
        <v>4</v>
      </c>
      <c r="U10" s="33">
        <f>IF($G$6="Cu",1,2)</f>
        <v>2</v>
      </c>
      <c r="V10" s="33">
        <f t="shared" si="0"/>
        <v>8</v>
      </c>
      <c r="W10" s="34">
        <f t="shared" si="1"/>
        <v>0</v>
      </c>
      <c r="X10" s="34">
        <f t="shared" si="2"/>
        <v>0</v>
      </c>
      <c r="Y10" s="34">
        <f>IF(V10=8,для_Al_o,0)</f>
        <v>0.1303543029955419</v>
      </c>
      <c r="Z10" s="34">
        <f t="shared" si="3"/>
        <v>0</v>
      </c>
      <c r="AA10" s="35">
        <f t="shared" si="4"/>
        <v>0.1303543029955419</v>
      </c>
      <c r="AB10" s="36">
        <f>IF($G$6="Cu",$L$2,$L$3)</f>
        <v>31.7</v>
      </c>
      <c r="AC10" s="37">
        <f>1000/AB10/K10/G7</f>
        <v>0.1705175206752494</v>
      </c>
      <c r="AF10" s="13" t="s">
        <v>55</v>
      </c>
      <c r="AG10" s="13">
        <v>0.065</v>
      </c>
    </row>
    <row r="11" spans="1:33" ht="12.75">
      <c r="A11" s="11" t="s">
        <v>56</v>
      </c>
      <c r="B11" s="13" t="s">
        <v>57</v>
      </c>
      <c r="C11" s="41">
        <f>AA6*C10*C5/K6/C7</f>
        <v>0.8884073041644457</v>
      </c>
      <c r="D11" s="41">
        <f>AA7*D10*D5/K7/D7</f>
        <v>0.2073854286000839</v>
      </c>
      <c r="E11" s="41">
        <f>AA8*E10*E5/K8/E7</f>
        <v>1.2770492752722409</v>
      </c>
      <c r="F11" s="41">
        <f>AA9*F10*F5/K9/F7</f>
        <v>0.525256349225408</v>
      </c>
      <c r="G11" s="41">
        <f>AA10*G10*G5/K10/G7</f>
        <v>2.3615971995668015</v>
      </c>
      <c r="H11" s="41">
        <f>AA11*H10*H5/K11/H7</f>
        <v>1.9491657570559802</v>
      </c>
      <c r="J11" s="26">
        <f>IF($H$6="Cu",L11,M11)/H7</f>
        <v>3.68</v>
      </c>
      <c r="K11" s="27">
        <f>SUMIF($N$6:$N$45,$H$8,$Q$6:$Q$45)</f>
        <v>10</v>
      </c>
      <c r="L11" s="28">
        <f>SUMIF($N$6:$N$45,$H$8,$O$6:$O$45)</f>
        <v>3.68</v>
      </c>
      <c r="M11" s="28">
        <f>SUMIF($N$6:$N$45,$H$8,P6:P45)</f>
        <v>6.32</v>
      </c>
      <c r="N11" s="29" t="s">
        <v>58</v>
      </c>
      <c r="O11" s="30">
        <v>0.43</v>
      </c>
      <c r="P11" s="30">
        <v>0.687</v>
      </c>
      <c r="Q11" s="20">
        <v>150</v>
      </c>
      <c r="R11" s="31">
        <f>J11*H5/1000</f>
        <v>0.092</v>
      </c>
      <c r="S11" s="32">
        <f>SUM(R5:R11)</f>
        <v>0.21215</v>
      </c>
      <c r="T11" s="33">
        <f>IF(H9=380,3,4)</f>
        <v>4</v>
      </c>
      <c r="U11" s="33">
        <f>IF($H$6="Cu",1,2)</f>
        <v>1</v>
      </c>
      <c r="V11" s="33">
        <f t="shared" si="0"/>
        <v>4</v>
      </c>
      <c r="W11" s="34">
        <f t="shared" si="1"/>
        <v>0</v>
      </c>
      <c r="X11" s="34">
        <f t="shared" si="2"/>
        <v>0</v>
      </c>
      <c r="Y11" s="34">
        <f>IF(V11=8,для_Al_o,0)</f>
        <v>0</v>
      </c>
      <c r="Z11" s="34">
        <f t="shared" si="3"/>
        <v>0.0779666302822392</v>
      </c>
      <c r="AA11" s="35">
        <f t="shared" si="4"/>
        <v>0.0779666302822392</v>
      </c>
      <c r="AB11" s="36">
        <f>IF($H$6="Cu",$L$2,$L$3)</f>
        <v>53</v>
      </c>
      <c r="AC11" s="37">
        <f>1000/AB11/K11/H7</f>
        <v>1.8867924528301887</v>
      </c>
      <c r="AF11" s="13" t="s">
        <v>13</v>
      </c>
      <c r="AG11" s="13">
        <v>0.022</v>
      </c>
    </row>
    <row r="12" spans="1:33" ht="12.75">
      <c r="A12" s="11" t="s">
        <v>59</v>
      </c>
      <c r="B12" s="13" t="s">
        <v>57</v>
      </c>
      <c r="C12" s="41">
        <f>C11</f>
        <v>0.8884073041644457</v>
      </c>
      <c r="D12" s="41">
        <f>SUM(C11:D11)</f>
        <v>1.0957927327645296</v>
      </c>
      <c r="E12" s="41">
        <f>SUM(C11:E11)</f>
        <v>2.3728420080367707</v>
      </c>
      <c r="F12" s="41">
        <f>SUM(C11:F11)</f>
        <v>2.8980983572621786</v>
      </c>
      <c r="G12" s="41">
        <f>SUM(C11:G11)</f>
        <v>5.25969555682898</v>
      </c>
      <c r="H12" s="41">
        <f>SUM(C11:H11)</f>
        <v>7.20886131388496</v>
      </c>
      <c r="K12" s="27"/>
      <c r="L12" s="28"/>
      <c r="M12" s="28"/>
      <c r="N12" s="29" t="s">
        <v>60</v>
      </c>
      <c r="O12" s="30">
        <v>0.535</v>
      </c>
      <c r="P12" s="30">
        <v>0.862</v>
      </c>
      <c r="Q12" s="20">
        <v>150</v>
      </c>
      <c r="R12" s="31"/>
      <c r="S12" s="32"/>
      <c r="AF12" s="13" t="s">
        <v>61</v>
      </c>
      <c r="AG12" s="13">
        <v>0.043</v>
      </c>
    </row>
    <row r="13" spans="11:33" ht="12.75">
      <c r="K13" s="27"/>
      <c r="L13" s="28"/>
      <c r="M13" s="28"/>
      <c r="N13" s="29" t="s">
        <v>62</v>
      </c>
      <c r="O13" s="30">
        <v>0.35</v>
      </c>
      <c r="P13" s="30">
        <v>0.561</v>
      </c>
      <c r="Q13" s="20">
        <v>120</v>
      </c>
      <c r="R13" s="31"/>
      <c r="S13" s="32"/>
      <c r="AF13" s="13" t="s">
        <v>63</v>
      </c>
      <c r="AG13" s="13">
        <v>0.014</v>
      </c>
    </row>
    <row r="14" spans="1:33" ht="12.75">
      <c r="A14" s="11" t="s">
        <v>64</v>
      </c>
      <c r="B14" s="13" t="s">
        <v>7</v>
      </c>
      <c r="C14" s="42">
        <f>220/(Ztr+S6)</f>
        <v>2864.583333333333</v>
      </c>
      <c r="D14" s="42">
        <f>220/(Ztr+S7)</f>
        <v>2765.5562539283465</v>
      </c>
      <c r="E14" s="42">
        <f>220/(Ztr+S8)</f>
        <v>2214.393558127831</v>
      </c>
      <c r="F14" s="42">
        <f>220/(Ztr+S9)</f>
        <v>1881.1457887986319</v>
      </c>
      <c r="G14" s="42">
        <f>220/(Ztr+S10)</f>
        <v>1547.6609215617307</v>
      </c>
      <c r="H14" s="42">
        <f>220/(Ztr+S11)</f>
        <v>939.5686525731369</v>
      </c>
      <c r="K14" s="27"/>
      <c r="L14" s="28"/>
      <c r="M14" s="28"/>
      <c r="N14" s="29" t="s">
        <v>65</v>
      </c>
      <c r="O14" s="30">
        <v>0.461</v>
      </c>
      <c r="P14" s="30">
        <v>0.745</v>
      </c>
      <c r="Q14" s="20">
        <v>120</v>
      </c>
      <c r="R14" s="31"/>
      <c r="S14" s="32"/>
      <c r="AF14" s="11" t="s">
        <v>66</v>
      </c>
      <c r="AG14" s="13">
        <v>0.027</v>
      </c>
    </row>
    <row r="15" spans="3:33" ht="12.75">
      <c r="C15" s="38"/>
      <c r="D15" s="38"/>
      <c r="E15" s="38"/>
      <c r="F15" s="38"/>
      <c r="G15" s="38"/>
      <c r="H15" s="38"/>
      <c r="K15" s="27"/>
      <c r="L15" s="28"/>
      <c r="M15" s="28"/>
      <c r="N15" s="29" t="s">
        <v>67</v>
      </c>
      <c r="O15" s="30">
        <v>0.568</v>
      </c>
      <c r="P15" s="30">
        <v>0.922</v>
      </c>
      <c r="Q15" s="20">
        <v>120</v>
      </c>
      <c r="R15" s="31"/>
      <c r="S15" s="32"/>
      <c r="AF15" s="11" t="s">
        <v>68</v>
      </c>
      <c r="AG15" s="13">
        <v>0.009</v>
      </c>
    </row>
    <row r="16" spans="1:25" ht="12.75">
      <c r="A16" s="11" t="s">
        <v>69</v>
      </c>
      <c r="B16" s="13" t="s">
        <v>7</v>
      </c>
      <c r="C16" s="13">
        <f aca="true" t="shared" si="5" ref="C16:H16">C18*C17</f>
        <v>3200</v>
      </c>
      <c r="D16" s="13">
        <f t="shared" si="5"/>
        <v>160</v>
      </c>
      <c r="E16" s="13">
        <f t="shared" si="5"/>
        <v>160</v>
      </c>
      <c r="F16" s="13">
        <f t="shared" si="5"/>
        <v>150</v>
      </c>
      <c r="G16" s="13">
        <f t="shared" si="5"/>
        <v>400</v>
      </c>
      <c r="H16" s="13">
        <f t="shared" si="5"/>
        <v>160</v>
      </c>
      <c r="K16" s="27"/>
      <c r="L16" s="28"/>
      <c r="M16" s="28"/>
      <c r="N16" s="29" t="s">
        <v>70</v>
      </c>
      <c r="O16" s="30">
        <v>0.428</v>
      </c>
      <c r="P16" s="30">
        <v>0.797</v>
      </c>
      <c r="Q16" s="20">
        <v>95</v>
      </c>
      <c r="R16" s="31"/>
      <c r="S16" s="32"/>
      <c r="X16" s="43"/>
      <c r="Y16" s="43"/>
    </row>
    <row r="17" spans="1:25" ht="12.75">
      <c r="A17" s="11" t="s">
        <v>71</v>
      </c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K17" s="27"/>
      <c r="L17" s="28"/>
      <c r="M17" s="28"/>
      <c r="N17" s="29" t="s">
        <v>72</v>
      </c>
      <c r="O17" s="30">
        <v>0.608</v>
      </c>
      <c r="P17" s="30">
        <v>0.99</v>
      </c>
      <c r="Q17" s="20">
        <v>95</v>
      </c>
      <c r="R17" s="31"/>
      <c r="S17" s="32"/>
      <c r="X17" s="43"/>
      <c r="Y17" s="43"/>
    </row>
    <row r="18" spans="1:25" ht="12.75">
      <c r="A18" s="11" t="s">
        <v>73</v>
      </c>
      <c r="B18" s="13" t="s">
        <v>7</v>
      </c>
      <c r="C18" s="3">
        <v>320</v>
      </c>
      <c r="D18" s="3">
        <v>16</v>
      </c>
      <c r="E18" s="3">
        <v>16</v>
      </c>
      <c r="F18" s="3">
        <v>15</v>
      </c>
      <c r="G18" s="3">
        <v>40</v>
      </c>
      <c r="H18" s="3">
        <v>16</v>
      </c>
      <c r="K18" s="27"/>
      <c r="L18" s="28"/>
      <c r="M18" s="28"/>
      <c r="N18" s="29" t="s">
        <v>74</v>
      </c>
      <c r="O18" s="30">
        <v>0.755</v>
      </c>
      <c r="P18" s="30">
        <v>1.27</v>
      </c>
      <c r="Q18" s="20">
        <v>95</v>
      </c>
      <c r="R18" s="31"/>
      <c r="S18" s="32"/>
      <c r="X18" s="43"/>
      <c r="Y18" s="43"/>
    </row>
    <row r="19" spans="1:25" ht="12.75">
      <c r="A19" s="11" t="s">
        <v>75</v>
      </c>
      <c r="B19" s="13" t="s">
        <v>7</v>
      </c>
      <c r="C19" s="44">
        <f aca="true" t="shared" si="6" ref="C19:H19">IF(C9=380,C10/C9/SQRT(3)*1000,C10/C9*1000)</f>
        <v>185.35982326614302</v>
      </c>
      <c r="D19" s="44">
        <f t="shared" si="6"/>
        <v>356.8936269280082</v>
      </c>
      <c r="E19" s="44">
        <f t="shared" si="6"/>
        <v>305.2359712636732</v>
      </c>
      <c r="F19" s="44">
        <f t="shared" si="6"/>
        <v>141.23810795754636</v>
      </c>
      <c r="G19" s="44">
        <f t="shared" si="6"/>
        <v>217.63636363636365</v>
      </c>
      <c r="H19" s="44">
        <f t="shared" si="6"/>
        <v>45.45454545454545</v>
      </c>
      <c r="I19" s="45"/>
      <c r="J19" s="37"/>
      <c r="K19" s="27"/>
      <c r="L19" s="28"/>
      <c r="M19" s="28"/>
      <c r="N19" s="29" t="s">
        <v>76</v>
      </c>
      <c r="O19" s="30">
        <v>0.58</v>
      </c>
      <c r="P19" s="30">
        <v>0.932</v>
      </c>
      <c r="Q19" s="20">
        <v>70</v>
      </c>
      <c r="R19" s="31"/>
      <c r="S19" s="32"/>
      <c r="X19" s="43"/>
      <c r="Y19" s="43"/>
    </row>
    <row r="20" spans="1:25" ht="12.75">
      <c r="A20" s="11" t="s">
        <v>77</v>
      </c>
      <c r="B20" s="13" t="s">
        <v>78</v>
      </c>
      <c r="C20" s="46">
        <f>3*AC6*C5/1000*C19*C19/1000</f>
        <v>1.0838569110806238</v>
      </c>
      <c r="D20" s="46">
        <f>3*AC7*D5/1000*D19*D19/1000</f>
        <v>0.48714837178159726</v>
      </c>
      <c r="E20" s="46">
        <f>3*AC8*E5/1000*E19*E19/1000</f>
        <v>2.565591994021932</v>
      </c>
      <c r="F20" s="46">
        <f>3*AC9*F5/1000*F19*F19/1000</f>
        <v>0.4882783022399393</v>
      </c>
      <c r="G20" s="46">
        <f>3*AC10*G5/1000*G19*G19/1000</f>
        <v>1.6960991087288768</v>
      </c>
      <c r="H20" s="46">
        <f>3*AC11*H5/1000*H19*H19/1000</f>
        <v>0.29237486355839704</v>
      </c>
      <c r="K20" s="27"/>
      <c r="L20" s="28"/>
      <c r="M20" s="28"/>
      <c r="N20" s="29" t="s">
        <v>79</v>
      </c>
      <c r="O20" s="30">
        <v>0.833</v>
      </c>
      <c r="P20" s="30">
        <v>1.39</v>
      </c>
      <c r="Q20" s="20">
        <v>70</v>
      </c>
      <c r="R20" s="31"/>
      <c r="S20" s="32"/>
      <c r="X20" s="43"/>
      <c r="Y20" s="43"/>
    </row>
    <row r="21" spans="1:25" ht="12.75">
      <c r="A21" s="11" t="s">
        <v>77</v>
      </c>
      <c r="B21" s="13" t="s">
        <v>57</v>
      </c>
      <c r="C21" s="47">
        <f aca="true" t="shared" si="7" ref="C21:H21">C20/C10*100</f>
        <v>0.8884073041644456</v>
      </c>
      <c r="D21" s="47">
        <f t="shared" si="7"/>
        <v>0.20738542860008397</v>
      </c>
      <c r="E21" s="47">
        <f t="shared" si="7"/>
        <v>1.2770492752722409</v>
      </c>
      <c r="F21" s="47">
        <f t="shared" si="7"/>
        <v>0.5252563492254081</v>
      </c>
      <c r="G21" s="47">
        <f t="shared" si="7"/>
        <v>3.5423957993502024</v>
      </c>
      <c r="H21" s="47">
        <f t="shared" si="7"/>
        <v>2.9237486355839706</v>
      </c>
      <c r="I21" s="45"/>
      <c r="J21" s="37"/>
      <c r="K21" s="27"/>
      <c r="L21" s="28"/>
      <c r="M21" s="28"/>
      <c r="N21" s="29" t="s">
        <v>80</v>
      </c>
      <c r="O21" s="30">
        <v>1.03</v>
      </c>
      <c r="P21" s="30">
        <v>1.74</v>
      </c>
      <c r="Q21" s="20">
        <v>70</v>
      </c>
      <c r="R21" s="31"/>
      <c r="S21" s="32"/>
      <c r="X21" s="43"/>
      <c r="Y21" s="43"/>
    </row>
    <row r="22" spans="1:39" ht="12.75">
      <c r="A22" s="48" t="s">
        <v>81</v>
      </c>
      <c r="B22" s="13" t="s">
        <v>78</v>
      </c>
      <c r="D22" s="46">
        <f>SUM(C20:D20)</f>
        <v>1.571005282862221</v>
      </c>
      <c r="E22" s="46">
        <f>SUM(C20:E20)</f>
        <v>4.136597276884153</v>
      </c>
      <c r="F22" s="46">
        <f>SUM(C20:F20)</f>
        <v>4.624875579124092</v>
      </c>
      <c r="G22" s="46">
        <f>SUM(C20:G20)</f>
        <v>6.320974687852969</v>
      </c>
      <c r="H22" s="46">
        <f>SUM(C20:H20)</f>
        <v>6.613349551411366</v>
      </c>
      <c r="K22" s="27"/>
      <c r="L22" s="28"/>
      <c r="M22" s="28"/>
      <c r="N22" s="29" t="s">
        <v>46</v>
      </c>
      <c r="O22" s="30">
        <v>0.793</v>
      </c>
      <c r="P22" s="30">
        <v>1.29</v>
      </c>
      <c r="Q22" s="20">
        <v>50</v>
      </c>
      <c r="R22" s="31"/>
      <c r="S22" s="32"/>
      <c r="X22" s="43"/>
      <c r="Y22" s="43"/>
      <c r="AL22" s="43"/>
      <c r="AM22" s="43"/>
    </row>
    <row r="23" spans="1:39" ht="12.75">
      <c r="A23" s="11" t="s">
        <v>82</v>
      </c>
      <c r="B23" s="13" t="s">
        <v>57</v>
      </c>
      <c r="D23" s="47">
        <f>D22/$C$10*100</f>
        <v>1.2877092482477221</v>
      </c>
      <c r="E23" s="47">
        <f>E22/$C$10*100</f>
        <v>3.390653505642748</v>
      </c>
      <c r="F23" s="47">
        <f>F22/$C$10*100</f>
        <v>3.7908816222328627</v>
      </c>
      <c r="G23" s="47">
        <f>G22/$C$10*100</f>
        <v>5.181126793322106</v>
      </c>
      <c r="H23" s="47" t="s">
        <v>83</v>
      </c>
      <c r="I23" s="45"/>
      <c r="J23" s="37"/>
      <c r="K23" s="27"/>
      <c r="L23" s="28"/>
      <c r="M23" s="28"/>
      <c r="N23" s="29" t="s">
        <v>84</v>
      </c>
      <c r="O23" s="30">
        <v>1.14</v>
      </c>
      <c r="P23" s="30">
        <v>1.92</v>
      </c>
      <c r="Q23" s="20">
        <v>50</v>
      </c>
      <c r="R23" s="31"/>
      <c r="S23" s="32"/>
      <c r="X23" s="43"/>
      <c r="Y23" s="43"/>
      <c r="AL23" s="43"/>
      <c r="AM23" s="43"/>
    </row>
    <row r="24" spans="11:43" ht="12.75">
      <c r="K24" s="27"/>
      <c r="L24" s="28"/>
      <c r="M24" s="28"/>
      <c r="N24" s="29" t="s">
        <v>85</v>
      </c>
      <c r="O24" s="30">
        <v>1.6</v>
      </c>
      <c r="P24" s="30">
        <v>2.62</v>
      </c>
      <c r="Q24" s="20">
        <v>50</v>
      </c>
      <c r="R24" s="31"/>
      <c r="S24" s="32"/>
      <c r="X24" s="43"/>
      <c r="Y24" s="43"/>
      <c r="AL24" s="43"/>
      <c r="AM24" s="43"/>
      <c r="AP24" s="43"/>
      <c r="AQ24" s="43"/>
    </row>
    <row r="25" spans="1:43" ht="12.75">
      <c r="A25" s="11" t="s">
        <v>86</v>
      </c>
      <c r="C25" s="47">
        <f aca="true" t="shared" si="8" ref="C25:H25">C14/C18</f>
        <v>8.951822916666666</v>
      </c>
      <c r="D25" s="47">
        <f t="shared" si="8"/>
        <v>172.84726587052165</v>
      </c>
      <c r="E25" s="47">
        <f t="shared" si="8"/>
        <v>138.39959738298944</v>
      </c>
      <c r="F25" s="47">
        <f t="shared" si="8"/>
        <v>125.40971925324213</v>
      </c>
      <c r="G25" s="47">
        <f t="shared" si="8"/>
        <v>38.69152303904327</v>
      </c>
      <c r="H25" s="47">
        <f t="shared" si="8"/>
        <v>58.723040785821055</v>
      </c>
      <c r="I25" s="45"/>
      <c r="J25" s="37"/>
      <c r="K25" s="27"/>
      <c r="L25" s="28"/>
      <c r="M25" s="28"/>
      <c r="N25" s="29" t="s">
        <v>87</v>
      </c>
      <c r="O25" s="30">
        <v>1.09</v>
      </c>
      <c r="P25" s="30">
        <v>1.84</v>
      </c>
      <c r="Q25" s="20">
        <v>35</v>
      </c>
      <c r="R25" s="31"/>
      <c r="S25" s="32"/>
      <c r="X25" s="43"/>
      <c r="Y25" s="43"/>
      <c r="AL25" s="43"/>
      <c r="AM25" s="43"/>
      <c r="AP25" s="43"/>
      <c r="AQ25" s="43"/>
    </row>
    <row r="26" spans="8:43" ht="12.75">
      <c r="H26" s="45"/>
      <c r="I26" s="45"/>
      <c r="J26" s="37"/>
      <c r="K26" s="27"/>
      <c r="L26" s="28"/>
      <c r="M26" s="28"/>
      <c r="N26" s="29" t="s">
        <v>88</v>
      </c>
      <c r="O26" s="30">
        <v>2.38</v>
      </c>
      <c r="P26" s="30">
        <v>4.08</v>
      </c>
      <c r="Q26" s="20">
        <v>35</v>
      </c>
      <c r="R26" s="31"/>
      <c r="S26" s="32"/>
      <c r="AL26" s="43"/>
      <c r="AM26" s="43"/>
      <c r="AP26" s="43"/>
      <c r="AQ26" s="43"/>
    </row>
    <row r="27" spans="3:43" ht="12.75">
      <c r="C27" s="11" t="s">
        <v>96</v>
      </c>
      <c r="J27" s="11">
        <f>для_Cu</f>
        <v>0.01306642972874092</v>
      </c>
      <c r="K27" s="27"/>
      <c r="L27" s="28"/>
      <c r="M27" s="28"/>
      <c r="N27" s="29" t="s">
        <v>89</v>
      </c>
      <c r="O27" s="30">
        <v>1.49</v>
      </c>
      <c r="P27" s="30">
        <v>2.56</v>
      </c>
      <c r="Q27" s="20">
        <v>25</v>
      </c>
      <c r="R27" s="31"/>
      <c r="S27" s="32"/>
      <c r="AL27" s="43"/>
      <c r="AM27" s="43"/>
      <c r="AP27" s="43"/>
      <c r="AQ27" s="43"/>
    </row>
    <row r="28" spans="2:43" ht="12.75">
      <c r="B28" s="13"/>
      <c r="D28" s="11" t="s">
        <v>18</v>
      </c>
      <c r="E28" s="11" t="s">
        <v>34</v>
      </c>
      <c r="F28" s="38"/>
      <c r="G28" s="38"/>
      <c r="H28" s="38"/>
      <c r="I28" s="45"/>
      <c r="J28" s="37"/>
      <c r="K28" s="27"/>
      <c r="L28" s="28"/>
      <c r="M28" s="28"/>
      <c r="N28" s="29" t="s">
        <v>90</v>
      </c>
      <c r="O28" s="30">
        <v>1.94</v>
      </c>
      <c r="P28" s="30">
        <v>3.26</v>
      </c>
      <c r="Q28" s="20">
        <v>25</v>
      </c>
      <c r="R28" s="31"/>
      <c r="S28" s="32"/>
      <c r="AL28" s="43"/>
      <c r="AM28" s="43"/>
      <c r="AP28" s="43"/>
      <c r="AQ28" s="43"/>
    </row>
    <row r="29" spans="2:43" ht="12.75">
      <c r="B29" s="13"/>
      <c r="C29" s="11">
        <v>380</v>
      </c>
      <c r="D29" s="49">
        <v>77</v>
      </c>
      <c r="E29" s="49">
        <v>46</v>
      </c>
      <c r="K29" s="27"/>
      <c r="L29" s="28"/>
      <c r="M29" s="28"/>
      <c r="N29" s="29" t="s">
        <v>91</v>
      </c>
      <c r="O29" s="30">
        <v>2.58</v>
      </c>
      <c r="P29" s="30">
        <v>4.44</v>
      </c>
      <c r="Q29" s="20">
        <v>25</v>
      </c>
      <c r="R29" s="31"/>
      <c r="S29" s="32"/>
      <c r="AL29" s="43"/>
      <c r="AM29" s="43"/>
      <c r="AP29" s="43"/>
      <c r="AQ29" s="43"/>
    </row>
    <row r="30" spans="3:43" ht="12.75">
      <c r="C30" s="11">
        <v>220</v>
      </c>
      <c r="D30" s="49">
        <v>14</v>
      </c>
      <c r="E30" s="49">
        <v>8.4</v>
      </c>
      <c r="H30" s="45"/>
      <c r="I30" s="45"/>
      <c r="J30" s="37"/>
      <c r="K30" s="27"/>
      <c r="L30" s="28"/>
      <c r="M30" s="28"/>
      <c r="N30" s="29" t="s">
        <v>92</v>
      </c>
      <c r="O30" s="30">
        <v>2.4</v>
      </c>
      <c r="P30" s="30">
        <v>3.96</v>
      </c>
      <c r="Q30" s="20">
        <v>16</v>
      </c>
      <c r="R30" s="31"/>
      <c r="S30" s="32"/>
      <c r="AL30" s="43"/>
      <c r="AM30" s="43"/>
      <c r="AP30" s="43"/>
      <c r="AQ30" s="43"/>
    </row>
    <row r="31" spans="11:43" ht="12.75" customHeight="1">
      <c r="K31" s="27"/>
      <c r="L31" s="28"/>
      <c r="M31" s="28"/>
      <c r="N31" s="29" t="s">
        <v>93</v>
      </c>
      <c r="O31" s="30">
        <v>3.04</v>
      </c>
      <c r="P31" s="30">
        <v>5.14</v>
      </c>
      <c r="Q31" s="20">
        <v>16</v>
      </c>
      <c r="R31" s="31"/>
      <c r="S31" s="32"/>
      <c r="AL31" s="43"/>
      <c r="AM31" s="43"/>
      <c r="AP31" s="43"/>
      <c r="AQ31" s="43"/>
    </row>
    <row r="32" spans="8:43" ht="12.75">
      <c r="H32" s="45"/>
      <c r="I32" s="45"/>
      <c r="J32" s="37"/>
      <c r="K32" s="27"/>
      <c r="L32" s="28"/>
      <c r="M32" s="28"/>
      <c r="N32" s="29" t="s">
        <v>94</v>
      </c>
      <c r="O32" s="30">
        <v>4.26</v>
      </c>
      <c r="P32" s="30">
        <v>7.24</v>
      </c>
      <c r="Q32" s="20">
        <v>16</v>
      </c>
      <c r="R32" s="31"/>
      <c r="S32" s="32"/>
      <c r="AP32" s="43"/>
      <c r="AQ32" s="43"/>
    </row>
    <row r="33" spans="11:43" ht="12.75" customHeight="1">
      <c r="K33" s="27"/>
      <c r="L33" s="28"/>
      <c r="M33" s="28"/>
      <c r="N33" s="29" t="s">
        <v>48</v>
      </c>
      <c r="O33" s="30">
        <v>3.68</v>
      </c>
      <c r="P33" s="30">
        <v>6.32</v>
      </c>
      <c r="Q33" s="20">
        <v>10</v>
      </c>
      <c r="R33" s="31"/>
      <c r="S33" s="32"/>
      <c r="AP33" s="43"/>
      <c r="AQ33" s="43"/>
    </row>
    <row r="34" spans="8:19" ht="12.75">
      <c r="H34" s="45"/>
      <c r="I34" s="45"/>
      <c r="J34" s="37"/>
      <c r="K34" s="27"/>
      <c r="L34" s="28"/>
      <c r="M34" s="28"/>
      <c r="N34" s="29" t="s">
        <v>95</v>
      </c>
      <c r="O34" s="30">
        <v>4.9</v>
      </c>
      <c r="P34" s="30">
        <v>8.42</v>
      </c>
      <c r="Q34" s="20">
        <v>10</v>
      </c>
      <c r="R34" s="31"/>
      <c r="S34" s="32"/>
    </row>
    <row r="35" spans="11:19" ht="12.75">
      <c r="K35" s="27"/>
      <c r="L35" s="28"/>
      <c r="M35" s="28"/>
      <c r="N35" s="29" t="s">
        <v>97</v>
      </c>
      <c r="O35" s="30">
        <v>6.5</v>
      </c>
      <c r="P35" s="30">
        <v>11.1</v>
      </c>
      <c r="Q35" s="20">
        <v>10</v>
      </c>
      <c r="R35" s="31"/>
      <c r="S35" s="32"/>
    </row>
    <row r="36" spans="8:19" ht="12.75">
      <c r="H36" s="45"/>
      <c r="I36" s="45"/>
      <c r="J36" s="37"/>
      <c r="K36" s="27"/>
      <c r="L36" s="28"/>
      <c r="M36" s="28"/>
      <c r="N36" s="29" t="s">
        <v>98</v>
      </c>
      <c r="O36" s="30">
        <v>6.12</v>
      </c>
      <c r="P36" s="30">
        <v>10.5</v>
      </c>
      <c r="Q36" s="20">
        <v>6</v>
      </c>
      <c r="R36" s="31"/>
      <c r="S36" s="32"/>
    </row>
    <row r="37" spans="11:19" ht="12.75">
      <c r="K37" s="27"/>
      <c r="L37" s="28"/>
      <c r="M37" s="28"/>
      <c r="N37" s="29" t="s">
        <v>99</v>
      </c>
      <c r="O37" s="30">
        <v>7.71</v>
      </c>
      <c r="P37" s="30">
        <v>13.2</v>
      </c>
      <c r="Q37" s="20">
        <v>6</v>
      </c>
      <c r="R37" s="31"/>
      <c r="S37" s="32"/>
    </row>
    <row r="38" spans="11:19" ht="12.75">
      <c r="K38" s="27"/>
      <c r="L38" s="28"/>
      <c r="M38" s="28"/>
      <c r="N38" s="29" t="s">
        <v>100</v>
      </c>
      <c r="O38" s="30">
        <v>10.6</v>
      </c>
      <c r="P38" s="30">
        <v>17.9</v>
      </c>
      <c r="Q38" s="20">
        <v>6</v>
      </c>
      <c r="R38" s="31"/>
      <c r="S38" s="32"/>
    </row>
    <row r="39" spans="11:19" ht="12.75">
      <c r="K39" s="27"/>
      <c r="L39" s="28"/>
      <c r="M39" s="28"/>
      <c r="N39" s="29" t="s">
        <v>101</v>
      </c>
      <c r="O39" s="30">
        <v>9.3</v>
      </c>
      <c r="P39" s="30">
        <v>15.8</v>
      </c>
      <c r="Q39" s="20">
        <v>4</v>
      </c>
      <c r="R39" s="31"/>
      <c r="S39" s="32"/>
    </row>
    <row r="40" spans="11:19" ht="12.75">
      <c r="K40" s="27"/>
      <c r="L40" s="28"/>
      <c r="M40" s="28"/>
      <c r="N40" s="29" t="s">
        <v>102</v>
      </c>
      <c r="O40" s="30">
        <v>12.2</v>
      </c>
      <c r="P40" s="30">
        <v>20.5</v>
      </c>
      <c r="Q40" s="20">
        <v>4</v>
      </c>
      <c r="R40" s="31"/>
      <c r="S40" s="32"/>
    </row>
    <row r="41" spans="11:19" ht="12.75">
      <c r="K41" s="27"/>
      <c r="L41" s="28"/>
      <c r="M41" s="28"/>
      <c r="N41" s="29" t="s">
        <v>103</v>
      </c>
      <c r="O41" s="30">
        <v>17.3</v>
      </c>
      <c r="P41" s="50"/>
      <c r="Q41" s="20">
        <v>4</v>
      </c>
      <c r="R41" s="31"/>
      <c r="S41" s="32"/>
    </row>
    <row r="42" spans="1:19" ht="12.75">
      <c r="A42" s="43"/>
      <c r="B42" s="43"/>
      <c r="K42" s="27"/>
      <c r="L42" s="28"/>
      <c r="M42" s="28"/>
      <c r="N42" s="29" t="s">
        <v>104</v>
      </c>
      <c r="O42" s="30">
        <v>15.1</v>
      </c>
      <c r="P42" s="30">
        <v>25.2</v>
      </c>
      <c r="Q42" s="20">
        <v>2.5</v>
      </c>
      <c r="R42" s="31"/>
      <c r="S42" s="32"/>
    </row>
    <row r="43" spans="1:19" ht="12.75">
      <c r="A43" s="43"/>
      <c r="B43" s="43"/>
      <c r="K43" s="27"/>
      <c r="L43" s="28"/>
      <c r="M43" s="28"/>
      <c r="N43" s="29" t="s">
        <v>105</v>
      </c>
      <c r="O43" s="30">
        <v>20.2</v>
      </c>
      <c r="P43" s="50"/>
      <c r="Q43" s="20">
        <v>2.5</v>
      </c>
      <c r="R43" s="31"/>
      <c r="S43" s="31"/>
    </row>
    <row r="44" spans="1:19" ht="12.75">
      <c r="A44" s="43"/>
      <c r="B44" s="43"/>
      <c r="K44" s="27"/>
      <c r="L44" s="28"/>
      <c r="M44" s="28"/>
      <c r="N44" s="29" t="s">
        <v>106</v>
      </c>
      <c r="O44" s="30">
        <v>25.2</v>
      </c>
      <c r="P44" s="50"/>
      <c r="Q44" s="20">
        <v>1.5</v>
      </c>
      <c r="R44" s="31"/>
      <c r="S44" s="31"/>
    </row>
    <row r="45" spans="1:19" ht="12.75">
      <c r="A45" s="43"/>
      <c r="B45" s="43"/>
      <c r="G45" s="43"/>
      <c r="H45" s="43"/>
      <c r="K45" s="27"/>
      <c r="L45" s="28"/>
      <c r="M45" s="28"/>
      <c r="N45" s="29" t="s">
        <v>107</v>
      </c>
      <c r="O45" s="30">
        <v>31.5</v>
      </c>
      <c r="P45" s="51"/>
      <c r="Q45" s="20">
        <v>1.5</v>
      </c>
      <c r="R45" s="31"/>
      <c r="S45" s="31"/>
    </row>
    <row r="46" spans="1:8" ht="12.75">
      <c r="A46" s="43"/>
      <c r="B46" s="43"/>
      <c r="G46" s="43"/>
      <c r="H46" s="43"/>
    </row>
    <row r="47" spans="1:8" ht="12.75">
      <c r="A47" s="43"/>
      <c r="B47" s="43"/>
      <c r="G47" s="43"/>
      <c r="H47" s="43"/>
    </row>
    <row r="48" spans="1:8" ht="12.75">
      <c r="A48" s="43"/>
      <c r="B48" s="43"/>
      <c r="G48" s="43"/>
      <c r="H48" s="43"/>
    </row>
    <row r="49" spans="1:8" ht="12.75">
      <c r="A49" s="43"/>
      <c r="B49" s="43"/>
      <c r="G49" s="43"/>
      <c r="H49" s="43"/>
    </row>
    <row r="50" spans="1:8" ht="12.75">
      <c r="A50" s="43"/>
      <c r="B50" s="43"/>
      <c r="G50" s="43"/>
      <c r="H50" s="43"/>
    </row>
    <row r="51" spans="1:8" ht="12.75">
      <c r="A51" s="43"/>
      <c r="B51" s="43"/>
      <c r="G51" s="43"/>
      <c r="H51" s="43"/>
    </row>
    <row r="52" spans="1:8" ht="12.75">
      <c r="A52" s="43"/>
      <c r="B52" s="43"/>
      <c r="G52" s="43"/>
      <c r="H52" s="43"/>
    </row>
    <row r="53" spans="1:8" ht="12.75">
      <c r="A53" s="43"/>
      <c r="B53" s="43"/>
      <c r="G53" s="43"/>
      <c r="H53" s="43"/>
    </row>
    <row r="54" spans="1:8" ht="12.75">
      <c r="A54" s="43"/>
      <c r="B54" s="43"/>
      <c r="G54" s="43"/>
      <c r="H54" s="43"/>
    </row>
    <row r="55" spans="1:8" ht="12.75">
      <c r="A55" s="43"/>
      <c r="B55" s="43"/>
      <c r="G55" s="43"/>
      <c r="H55" s="43"/>
    </row>
    <row r="56" spans="1:8" ht="12.75">
      <c r="A56" s="43"/>
      <c r="B56" s="43"/>
      <c r="G56" s="43"/>
      <c r="H56" s="43"/>
    </row>
    <row r="57" spans="1:8" ht="12.75">
      <c r="A57" s="43"/>
      <c r="B57" s="43"/>
      <c r="G57" s="43"/>
      <c r="H57" s="43"/>
    </row>
    <row r="58" spans="2:8" ht="12.75">
      <c r="B58" s="43"/>
      <c r="G58" s="43"/>
      <c r="H58" s="43"/>
    </row>
    <row r="59" spans="2:8" ht="12.75">
      <c r="B59" s="43"/>
      <c r="G59" s="43"/>
      <c r="H59" s="43"/>
    </row>
    <row r="60" spans="2:8" ht="12.75">
      <c r="B60" s="43"/>
      <c r="G60" s="43"/>
      <c r="H60" s="43"/>
    </row>
    <row r="61" spans="2:8" ht="12.75">
      <c r="B61" s="43"/>
      <c r="G61" s="43"/>
      <c r="H61" s="43"/>
    </row>
    <row r="62" ht="12.75">
      <c r="B62" s="43"/>
    </row>
  </sheetData>
  <sheetProtection password="CEE9" sheet="1" objects="1" scenarios="1" formatCells="0" formatColumns="0" formatRows="0" autoFilter="0"/>
  <conditionalFormatting sqref="C16:H16">
    <cfRule type="cellIs" priority="1" dxfId="0" operator="greaterThanOrEqual" stopIfTrue="1">
      <formula>C14</formula>
    </cfRule>
  </conditionalFormatting>
  <conditionalFormatting sqref="C6:H6">
    <cfRule type="cellIs" priority="2" dxfId="0" operator="equal" stopIfTrue="1">
      <formula>"Cu"</formula>
    </cfRule>
  </conditionalFormatting>
  <dataValidations count="4">
    <dataValidation type="list" allowBlank="1" showInputMessage="1" showErrorMessage="1" sqref="C6:H6">
      <formula1>$J$2:$J$3</formula1>
    </dataValidation>
    <dataValidation type="list" allowBlank="1" showInputMessage="1" showErrorMessage="1" sqref="C9:H9">
      <formula1>$K$2:$K$3</formula1>
    </dataValidation>
    <dataValidation type="list" allowBlank="1" showInputMessage="1" showErrorMessage="1" sqref="B1">
      <formula1>$AF$2:$AF$15</formula1>
    </dataValidation>
    <dataValidation type="list" allowBlank="1" showInputMessage="1" showErrorMessage="1" sqref="C8:H8">
      <formula1>$N$6:$N$45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IV16384"/>
    </sheetView>
  </sheetViews>
  <sheetFormatPr defaultColWidth="9.00390625" defaultRowHeight="12.75"/>
  <cols>
    <col min="9" max="9" width="25.00390625" style="0" customWidth="1"/>
    <col min="10" max="10" width="58.00390625" style="0" customWidth="1"/>
  </cols>
  <sheetData>
    <row r="1" ht="12.75">
      <c r="A1" t="s">
        <v>108</v>
      </c>
    </row>
    <row r="2" ht="12.75">
      <c r="F2" s="5">
        <v>0.22</v>
      </c>
    </row>
    <row r="3" spans="5:6" ht="12.75">
      <c r="E3" t="s">
        <v>109</v>
      </c>
      <c r="F3" s="9">
        <f>2/10/$E$15/$F$2/$F$2</f>
        <v>0.0779666302822392</v>
      </c>
    </row>
    <row r="4" spans="5:6" ht="12.75">
      <c r="E4" t="s">
        <v>110</v>
      </c>
      <c r="F4" s="9">
        <f>2/10/$E$16/$F$2/$F$2</f>
        <v>0.1303543029955419</v>
      </c>
    </row>
    <row r="6" ht="12.75">
      <c r="A6" t="s">
        <v>111</v>
      </c>
    </row>
    <row r="8" spans="1:6" ht="12.75">
      <c r="A8" t="s">
        <v>112</v>
      </c>
      <c r="F8" s="5">
        <v>0.38</v>
      </c>
    </row>
    <row r="9" spans="5:6" ht="12.75">
      <c r="E9" t="s">
        <v>109</v>
      </c>
      <c r="F9" s="9">
        <f>1/10/$E$15/$F$8/$F$8</f>
        <v>0.01306642972874092</v>
      </c>
    </row>
    <row r="10" spans="5:6" ht="12.75">
      <c r="E10" t="s">
        <v>110</v>
      </c>
      <c r="F10" s="9">
        <f>1/10/$E$16/$F$8/$F$8</f>
        <v>0.021846081249945387</v>
      </c>
    </row>
    <row r="13" ht="12.75">
      <c r="A13" t="s">
        <v>111</v>
      </c>
    </row>
    <row r="15" spans="2:5" ht="12.75">
      <c r="B15" t="s">
        <v>113</v>
      </c>
      <c r="E15">
        <v>53</v>
      </c>
    </row>
    <row r="16" spans="2:5" ht="12.75">
      <c r="B16" t="s">
        <v>114</v>
      </c>
      <c r="E16">
        <v>31.7</v>
      </c>
    </row>
    <row r="20" spans="2:6" ht="12.75">
      <c r="B20" t="s">
        <v>115</v>
      </c>
      <c r="D20" t="s">
        <v>116</v>
      </c>
      <c r="E20" t="s">
        <v>117</v>
      </c>
      <c r="F20" t="s">
        <v>118</v>
      </c>
    </row>
    <row r="21" spans="2:6" ht="12.75">
      <c r="B21" s="8">
        <f>C21*D21*E21/F21</f>
        <v>2.92374863558397</v>
      </c>
      <c r="C21" s="10">
        <f>F3</f>
        <v>0.0779666302822392</v>
      </c>
      <c r="D21" s="8">
        <v>50</v>
      </c>
      <c r="E21" s="1">
        <v>3</v>
      </c>
      <c r="F21" s="1">
        <v>4</v>
      </c>
    </row>
    <row r="23" spans="2:6" ht="12.75">
      <c r="B23" s="8">
        <f>D23*C23/F23</f>
        <v>1.278652736628723</v>
      </c>
      <c r="C23" s="10">
        <f>F3</f>
        <v>0.0779666302822392</v>
      </c>
      <c r="D23" s="8">
        <f>45*0.6+30*0.4+10*0.2</f>
        <v>41</v>
      </c>
      <c r="E23" s="1"/>
      <c r="F23" s="1">
        <v>2.5</v>
      </c>
    </row>
    <row r="24" ht="12.75">
      <c r="B24" s="8"/>
    </row>
    <row r="26" spans="9:10" ht="12.75">
      <c r="I26" s="2"/>
      <c r="J26" s="2"/>
    </row>
    <row r="27" spans="2:10" ht="12.75">
      <c r="B27" s="8">
        <f>C27*D27*E27/F27</f>
        <v>2.4145668749939637</v>
      </c>
      <c r="C27" s="10">
        <f>F10</f>
        <v>0.021846081249945387</v>
      </c>
      <c r="D27" s="8">
        <v>70</v>
      </c>
      <c r="E27" s="1">
        <v>150</v>
      </c>
      <c r="F27" s="1">
        <v>95</v>
      </c>
      <c r="I27" s="2"/>
      <c r="J27" s="2"/>
    </row>
    <row r="28" spans="2:10" ht="12.75">
      <c r="B28" s="8">
        <f>B21+B27</f>
        <v>5.338315510577933</v>
      </c>
      <c r="I28" s="2"/>
      <c r="J28" s="2"/>
    </row>
    <row r="29" spans="9:10" ht="12.75">
      <c r="I29" s="2"/>
      <c r="J29" s="2"/>
    </row>
    <row r="30" ht="12.75">
      <c r="G30" t="s">
        <v>119</v>
      </c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10" ht="12.75">
      <c r="B42" s="2"/>
      <c r="C42" s="2"/>
      <c r="I42" s="2"/>
      <c r="J42" s="2"/>
    </row>
    <row r="43" spans="2:10" ht="12.75">
      <c r="B43" s="2"/>
      <c r="C43" s="2"/>
      <c r="I43" s="2"/>
      <c r="J43" s="2"/>
    </row>
    <row r="44" spans="2:10" ht="12.75">
      <c r="B44" s="2"/>
      <c r="C44" s="2"/>
      <c r="I44" s="2"/>
      <c r="J44" s="2"/>
    </row>
    <row r="45" spans="9:10" ht="12.75">
      <c r="I45" s="2"/>
      <c r="J45" s="2"/>
    </row>
    <row r="46" spans="9:10" ht="12.75">
      <c r="I46" s="2"/>
      <c r="J46" s="2"/>
    </row>
    <row r="47" spans="9:10" ht="12.75">
      <c r="I47" s="2"/>
      <c r="J47" s="2"/>
    </row>
    <row r="48" spans="9:10" ht="12.75">
      <c r="I48" s="2"/>
      <c r="J48" s="2"/>
    </row>
    <row r="49" spans="9:10" ht="12.75">
      <c r="I49" s="2"/>
      <c r="J49" s="2"/>
    </row>
    <row r="50" spans="9:10" ht="12.75">
      <c r="I50" s="2"/>
      <c r="J50" s="2"/>
    </row>
  </sheetData>
  <sheetProtection password="CE28" sheet="1" objects="1" scenarios="1"/>
  <printOptions/>
  <pageMargins left="0.75" right="0.75" top="1" bottom="1" header="0.5" footer="0.5"/>
  <pageSetup horizontalDpi="300" verticalDpi="300" orientation="portrait" paperSize="9" r:id="rId8"/>
  <legacyDrawing r:id="rId7"/>
  <oleObjects>
    <oleObject progId="Equation.3" shapeId="10194802" r:id="rId1"/>
    <oleObject progId="Equation.3" shapeId="10194803" r:id="rId2"/>
    <oleObject progId="Equation.3" shapeId="10194804" r:id="rId3"/>
    <oleObject progId="Equation.3" shapeId="10194805" r:id="rId4"/>
    <oleObject progId="Equation.3" shapeId="10194806" r:id="rId5"/>
    <oleObject progId="Equation.3" shapeId="1019480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BIGBIV</dc:creator>
  <cp:keywords/>
  <dc:description/>
  <cp:lastModifiedBy>BIGBIV</cp:lastModifiedBy>
  <dcterms:created xsi:type="dcterms:W3CDTF">2010-01-18T07:42:42Z</dcterms:created>
  <dcterms:modified xsi:type="dcterms:W3CDTF">2010-01-21T10:03:13Z</dcterms:modified>
  <cp:category/>
  <cp:version/>
  <cp:contentType/>
  <cp:contentStatus/>
</cp:coreProperties>
</file>